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10" firstSheet="17" activeTab="17"/>
  </bookViews>
  <sheets>
    <sheet name="EEE" sheetId="1" r:id="rId1"/>
    <sheet name="ECE" sheetId="2" r:id="rId2"/>
    <sheet name="CSE" sheetId="3" r:id="rId3"/>
    <sheet name="S&amp;H" sheetId="4" r:id="rId4"/>
    <sheet name="I.T" sheetId="5" r:id="rId5"/>
    <sheet name="Mech." sheetId="6" r:id="rId6"/>
    <sheet name="MBA" sheetId="7" r:id="rId7"/>
    <sheet name="MCA" sheetId="8" r:id="rId8"/>
    <sheet name=" CNSS" sheetId="9" state="hidden" r:id="rId9"/>
    <sheet name="Exam " sheetId="10" state="hidden" r:id="rId10"/>
    <sheet name="Library" sheetId="11" state="hidden" r:id="rId11"/>
    <sheet name="CACHE" sheetId="12" state="hidden" r:id="rId12"/>
    <sheet name="ADMIN" sheetId="13" state="hidden" r:id="rId13"/>
    <sheet name="Institute Budget" sheetId="14" state="hidden" r:id="rId14"/>
    <sheet name="Dept.Budgets&amp;Actuals" sheetId="15" state="hidden" r:id="rId15"/>
    <sheet name="Non-Recur.exp" sheetId="16" state="hidden" r:id="rId16"/>
    <sheet name="Lab Equip" sheetId="17" state="hidden" r:id="rId17"/>
    <sheet name="Dept " sheetId="18" r:id="rId18"/>
  </sheets>
  <definedNames>
    <definedName name="_xlnm.Print_Area" localSheetId="17">'Dept '!$B$4:$K$19</definedName>
    <definedName name="_xlnm.Print_Area" localSheetId="14">'Dept.Budgets&amp;Actuals'!$A$60:$K$80</definedName>
    <definedName name="_xlnm.Print_Area" localSheetId="13">'Institute Budget'!$B$4:$Q$42</definedName>
    <definedName name="_xlnm.Print_Area" localSheetId="16">'Lab Equip'!$B$16:$F$26</definedName>
    <definedName name="_xlnm.Print_Area" localSheetId="15">'Non-Recur.exp'!$A$4:$H$15</definedName>
  </definedNames>
  <calcPr fullCalcOnLoad="1"/>
</workbook>
</file>

<file path=xl/comments14.xml><?xml version="1.0" encoding="utf-8"?>
<comments xmlns="http://schemas.openxmlformats.org/spreadsheetml/2006/main">
  <authors>
    <author>Author</author>
  </authors>
  <commentList>
    <comment ref="C12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C32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<sst xmlns="http://schemas.openxmlformats.org/spreadsheetml/2006/main" count="866" uniqueCount="308">
  <si>
    <t>Geethanjali College of Engineering &amp; Technology</t>
  </si>
  <si>
    <t>Approved Budget for the Year 2012-13</t>
  </si>
  <si>
    <t xml:space="preserve">A: Capital Items(Non-Recurring):  </t>
  </si>
  <si>
    <t>No</t>
  </si>
  <si>
    <t>Description</t>
  </si>
  <si>
    <t>Amount</t>
  </si>
  <si>
    <t>Remarks</t>
  </si>
  <si>
    <t>-</t>
  </si>
  <si>
    <t>Equipments</t>
  </si>
  <si>
    <t>6,75,000/-</t>
  </si>
  <si>
    <t xml:space="preserve">Library </t>
  </si>
  <si>
    <t>10,000/-</t>
  </si>
  <si>
    <t>Software</t>
  </si>
  <si>
    <t>50,000/-</t>
  </si>
  <si>
    <t xml:space="preserve">R &amp; D </t>
  </si>
  <si>
    <t>5,00,000/-</t>
  </si>
  <si>
    <t>Miscellaneous</t>
  </si>
  <si>
    <t>Contingencies</t>
  </si>
  <si>
    <t>Total of Part-A</t>
  </si>
  <si>
    <t>B: Revenue Items(Recurring):</t>
  </si>
  <si>
    <t xml:space="preserve"> Consumables &amp; Maintenance</t>
  </si>
  <si>
    <t>15,000/-</t>
  </si>
  <si>
    <t>Co curricular Activities</t>
  </si>
  <si>
    <t>60,000/-</t>
  </si>
  <si>
    <t>Printing &amp; Stationery</t>
  </si>
  <si>
    <t>Incentives</t>
  </si>
  <si>
    <t>30,000/-</t>
  </si>
  <si>
    <t>Travels</t>
  </si>
  <si>
    <t>20,000/-</t>
  </si>
  <si>
    <t xml:space="preserve">R&amp;D </t>
  </si>
  <si>
    <t xml:space="preserve">Miscellaneous </t>
  </si>
  <si>
    <t>Total of Part-B</t>
  </si>
  <si>
    <t>1,95,000/-</t>
  </si>
  <si>
    <t>Grand Total (A+B)</t>
  </si>
  <si>
    <t>14,50,000/-</t>
  </si>
  <si>
    <t xml:space="preserve">Physical Infrastructure </t>
  </si>
  <si>
    <t>Budget Amount</t>
  </si>
  <si>
    <t>Actual Spent Amount</t>
  </si>
  <si>
    <r>
      <t xml:space="preserve">Department of </t>
    </r>
    <r>
      <rPr>
        <b/>
        <sz val="12"/>
        <color indexed="10"/>
        <rFont val="Arial"/>
        <family val="2"/>
      </rPr>
      <t>ELECTRICAL AND ELECTRONICS ENGINEERING</t>
    </r>
  </si>
  <si>
    <r>
      <t>Furniture &amp; Fixtures</t>
    </r>
    <r>
      <rPr>
        <b/>
        <vertAlign val="superscript"/>
        <sz val="12"/>
        <color indexed="58"/>
        <rFont val="Arial"/>
        <family val="2"/>
      </rPr>
      <t>*</t>
    </r>
  </si>
  <si>
    <t>12,55,000/-</t>
  </si>
  <si>
    <t>Geethanjali College of Engineering and Technology</t>
  </si>
  <si>
    <t>Dept. of ECE</t>
  </si>
  <si>
    <t>Approved Budget for the year 2012-13</t>
  </si>
  <si>
    <t>A: Capital items (Non-recurring):</t>
  </si>
  <si>
    <t>No.</t>
  </si>
  <si>
    <t>Physical Infrastructure *</t>
  </si>
  <si>
    <t>--</t>
  </si>
  <si>
    <t>Furniture &amp; Fixtures  *</t>
  </si>
  <si>
    <t>Equipment</t>
  </si>
  <si>
    <t>14,10,000/-</t>
  </si>
  <si>
    <t>Library   *</t>
  </si>
  <si>
    <t>8,00,000/-</t>
  </si>
  <si>
    <t>R&amp;D</t>
  </si>
  <si>
    <t>7.05,000/-</t>
  </si>
  <si>
    <t>10, 000/-</t>
  </si>
  <si>
    <t xml:space="preserve"> </t>
  </si>
  <si>
    <t>Total of Part - A</t>
  </si>
  <si>
    <t>29.55,000/-</t>
  </si>
  <si>
    <t>B. Revenue Items (Recurring):</t>
  </si>
  <si>
    <t>Amount in Rs. Thousands.</t>
  </si>
  <si>
    <t>Consumables and maintenance</t>
  </si>
  <si>
    <t>1,00,000/-</t>
  </si>
  <si>
    <t>Co-curricular activities</t>
  </si>
  <si>
    <t>1,60,000/-</t>
  </si>
  <si>
    <t>Printing and stationary</t>
  </si>
  <si>
    <t>40,000/-</t>
  </si>
  <si>
    <t>70000/-</t>
  </si>
  <si>
    <t>Total of Part – B</t>
  </si>
  <si>
    <t>4,30,000/-</t>
  </si>
  <si>
    <t>Budget Amount in Rs.</t>
  </si>
  <si>
    <t>Actual Spent Amount in Rs.</t>
  </si>
  <si>
    <r>
      <t>Grand total (A+B)    :</t>
    </r>
    <r>
      <rPr>
        <b/>
        <sz val="12"/>
        <color indexed="8"/>
        <rFont val="Arial"/>
        <family val="2"/>
      </rPr>
      <t xml:space="preserve"> 33,85,000/-</t>
    </r>
  </si>
  <si>
    <t>CSE</t>
  </si>
  <si>
    <t>(Rs.11,95,000)</t>
  </si>
  <si>
    <t>7,00,000</t>
  </si>
  <si>
    <t>1,75,000</t>
  </si>
  <si>
    <t>9,15,000</t>
  </si>
  <si>
    <t>1,40,000</t>
  </si>
  <si>
    <t>2,80,000</t>
  </si>
  <si>
    <t>11,95,000</t>
  </si>
  <si>
    <t>Department of  :-</t>
  </si>
  <si>
    <r>
      <t xml:space="preserve">Physical Infrastructure </t>
    </r>
    <r>
      <rPr>
        <vertAlign val="superscript"/>
        <sz val="14"/>
        <color indexed="58"/>
        <rFont val="Arial"/>
        <family val="2"/>
      </rPr>
      <t>*</t>
    </r>
  </si>
  <si>
    <r>
      <t>Furniture &amp; Fixtures</t>
    </r>
    <r>
      <rPr>
        <vertAlign val="superscript"/>
        <sz val="14"/>
        <color indexed="58"/>
        <rFont val="Arial"/>
        <family val="2"/>
      </rPr>
      <t>*</t>
    </r>
  </si>
  <si>
    <t xml:space="preserve">Actual Spent Amount </t>
  </si>
  <si>
    <t>GEETHANJALI COLLEGE OF ENGINEERING &amp; TECHNOLOGY</t>
  </si>
  <si>
    <t>Dept. of Information Technology</t>
  </si>
  <si>
    <t>(Library/Transport/Infrastructure/General Equipment/Stores)</t>
  </si>
  <si>
    <t>A:Capital Items (Non-Recurring):</t>
  </si>
  <si>
    <t>Physical Infrastructure</t>
  </si>
  <si>
    <t> -</t>
  </si>
  <si>
    <t>Furniture &amp; Fixtures</t>
  </si>
  <si>
    <t>Library</t>
  </si>
  <si>
    <t>R &amp; D -Projects related</t>
  </si>
  <si>
    <t>Total of  Part - A</t>
  </si>
  <si>
    <t>B:Revenue Items (Recurring):</t>
  </si>
  <si>
    <t>Consumables &amp; Maintenance</t>
  </si>
  <si>
    <t>Co curricular &amp; Extra Activities</t>
  </si>
  <si>
    <t>R &amp; D - Projects related</t>
  </si>
  <si>
    <t>Total of  Part - B</t>
  </si>
  <si>
    <t xml:space="preserve">                                            </t>
  </si>
  <si>
    <t xml:space="preserve">Budget Amount    </t>
  </si>
  <si>
    <t>Dept. MECHANICAL ENGINEERING</t>
  </si>
  <si>
    <t xml:space="preserve">Dept. Science &amp; Humanities </t>
  </si>
  <si>
    <t>Dept. MBA</t>
  </si>
  <si>
    <t>Dept. MCA</t>
  </si>
  <si>
    <t>Dept. CNSS Section</t>
  </si>
  <si>
    <t>Dept. Exam Section</t>
  </si>
  <si>
    <t>Dept of Administration -LIBRARY</t>
  </si>
  <si>
    <t>Dept of -CACHE</t>
  </si>
  <si>
    <t>Dept of -Administarion</t>
  </si>
  <si>
    <t xml:space="preserve">Geethanjali College of Engineering &amp; Technology </t>
  </si>
  <si>
    <t>Itams</t>
  </si>
  <si>
    <t>Laboratory Equipment</t>
  </si>
  <si>
    <t>Training and Placements</t>
  </si>
  <si>
    <t>Seminars &amp; Guest Lectures</t>
  </si>
  <si>
    <t>F.D.P's &amp; Workshop</t>
  </si>
  <si>
    <t>T o t a l</t>
  </si>
  <si>
    <t xml:space="preserve">            Summary  of current financial years budget and actual expenditure Incurred (for the institution exclusively ) </t>
  </si>
  <si>
    <t xml:space="preserve">  of the three previous financial years.</t>
  </si>
  <si>
    <t>SI.No.</t>
  </si>
  <si>
    <t>Softwares</t>
  </si>
  <si>
    <t xml:space="preserve">Consolidated Statement of budget Allocation &amp; Utilisation </t>
  </si>
  <si>
    <t xml:space="preserve">Furniture &amp; Fixtures </t>
  </si>
  <si>
    <t>Miscellaneous&amp; Contingencies</t>
  </si>
  <si>
    <t xml:space="preserve">Co curricular &amp; Extra Activities </t>
  </si>
  <si>
    <t>R&amp;D -Projects related</t>
  </si>
  <si>
    <t>Laboratory Consumables &amp;Maint.</t>
  </si>
  <si>
    <t xml:space="preserve">Part B:  Consumables </t>
  </si>
  <si>
    <t xml:space="preserve">Part A:  Non Consumables </t>
  </si>
  <si>
    <t>A.Y-: 2013-14</t>
  </si>
  <si>
    <t xml:space="preserve">Summary of current financial year's budget and actual expenditure incurred (for the institution exclusively) of the </t>
  </si>
  <si>
    <t xml:space="preserve">Travel </t>
  </si>
  <si>
    <t xml:space="preserve">CACHE. Department </t>
  </si>
  <si>
    <t xml:space="preserve">ADMIN. Department </t>
  </si>
  <si>
    <t xml:space="preserve">Student Technical Activ,&amp; Incentives </t>
  </si>
  <si>
    <t>College Maintanance -Consumbles exp</t>
  </si>
  <si>
    <t>2013-14</t>
  </si>
  <si>
    <t>2012-13</t>
  </si>
  <si>
    <t>Total</t>
  </si>
  <si>
    <t xml:space="preserve">Date        </t>
  </si>
  <si>
    <t xml:space="preserve">            </t>
  </si>
  <si>
    <t xml:space="preserve">INFRASTRUCTURE FACILITIES </t>
  </si>
  <si>
    <t>Building, Buses, Cars, Generator</t>
  </si>
  <si>
    <t>Furniture</t>
  </si>
  <si>
    <t>Computers ,Software &amp; Lab Equipment</t>
  </si>
  <si>
    <t>2010-11</t>
  </si>
  <si>
    <t>2011-12</t>
  </si>
  <si>
    <t>S.no</t>
  </si>
  <si>
    <t>2014-15  (Un Audited Amt as on Feb'15)</t>
  </si>
  <si>
    <t>Table 2.6 :</t>
  </si>
  <si>
    <t>Grand Total  :</t>
  </si>
  <si>
    <t xml:space="preserve">  Details of Non-recurring Expenditure incurred during the last five years.</t>
  </si>
  <si>
    <t>Civil</t>
  </si>
  <si>
    <t>2014-15</t>
  </si>
  <si>
    <t xml:space="preserve">                  </t>
  </si>
  <si>
    <t xml:space="preserve">Voucher     </t>
  </si>
  <si>
    <t xml:space="preserve">Account                       </t>
  </si>
  <si>
    <t xml:space="preserve">             Debit</t>
  </si>
  <si>
    <t xml:space="preserve">Narration                                         </t>
  </si>
  <si>
    <t xml:space="preserve">                                                  </t>
  </si>
  <si>
    <t xml:space="preserve">Total (Rupees)                </t>
  </si>
  <si>
    <t xml:space="preserve">Jrn:329     </t>
  </si>
  <si>
    <t xml:space="preserve">Peridot Technologies          </t>
  </si>
  <si>
    <t>Towards purchase of Lab Equipement Invoice No:PT-19</t>
  </si>
  <si>
    <t xml:space="preserve">E.D.C Lab   </t>
  </si>
  <si>
    <t xml:space="preserve">Jrn:153     </t>
  </si>
  <si>
    <t xml:space="preserve">Hi-Q Test Equipment Pvt.Ltd   </t>
  </si>
  <si>
    <t xml:space="preserve">Towards pur.of EDC Lab Equipment INV.no:016       </t>
  </si>
  <si>
    <t xml:space="preserve">Jrn:13      </t>
  </si>
  <si>
    <t>Professional Advanced Electron</t>
  </si>
  <si>
    <t xml:space="preserve">Towards Pur.of Microprosser Equipment INV.no:002  </t>
  </si>
  <si>
    <t xml:space="preserve">Jrn:151     </t>
  </si>
  <si>
    <t>Semrock Inc.(A Unit of Idex Co</t>
  </si>
  <si>
    <t>Towards pur.of LIDER Equipment INV.no:83150-PO no:T</t>
  </si>
  <si>
    <t>MPJ &amp; MPMC Lab</t>
  </si>
  <si>
    <t>DST LIDAR Project Equipment</t>
  </si>
  <si>
    <t>Digital Storage Lab</t>
  </si>
  <si>
    <t>ECE Lab Equipment A/c For the FY:-2014-15</t>
  </si>
  <si>
    <t xml:space="preserve">Jrn:108     </t>
  </si>
  <si>
    <t xml:space="preserve">S.V.Electronics Ltd           </t>
  </si>
  <si>
    <t xml:space="preserve">Towards Invoice No:C15-1529                       </t>
  </si>
  <si>
    <t xml:space="preserve">Jrn:109     </t>
  </si>
  <si>
    <t xml:space="preserve">Towards invoice No:C15-1536,C15-1537&amp;C15-1552     </t>
  </si>
  <si>
    <t xml:space="preserve">Jrn:419     </t>
  </si>
  <si>
    <t xml:space="preserve">Towards Invoice No:C15-3977.                      </t>
  </si>
  <si>
    <t xml:space="preserve">Jrn:421     </t>
  </si>
  <si>
    <t xml:space="preserve">Towards invoice No:C15-4079                       </t>
  </si>
  <si>
    <t xml:space="preserve">Jrn:628     </t>
  </si>
  <si>
    <t xml:space="preserve">4 Way Solutions               </t>
  </si>
  <si>
    <t xml:space="preserve">Towards Invoice No:799                            </t>
  </si>
  <si>
    <t>CSE Lab Equipment A/c For the FY:-2014-15</t>
  </si>
  <si>
    <t>Computers equipment</t>
  </si>
  <si>
    <t xml:space="preserve">Jrn:235     </t>
  </si>
  <si>
    <t xml:space="preserve">Sun Seas Tech                 </t>
  </si>
  <si>
    <t xml:space="preserve">Towards Invoice No:27,28,21 &amp;22 (EEE Dept)        </t>
  </si>
  <si>
    <t xml:space="preserve">Jrn:445     </t>
  </si>
  <si>
    <t xml:space="preserve">Creative Micro Technologies   </t>
  </si>
  <si>
    <t xml:space="preserve">Towards Invoice No:031,032 &amp; 033                  </t>
  </si>
  <si>
    <t xml:space="preserve">Jrn:472     </t>
  </si>
  <si>
    <t xml:space="preserve">Uni Systems                   </t>
  </si>
  <si>
    <t xml:space="preserve">Towards Invoice No:014                            </t>
  </si>
  <si>
    <t>EEE Lab Equipment A/c For the FY:-2014-15</t>
  </si>
  <si>
    <t>Electrical Machines Lab</t>
  </si>
  <si>
    <t>Electrical Engineering Lab</t>
  </si>
  <si>
    <t xml:space="preserve">Power Converter Lab </t>
  </si>
  <si>
    <t xml:space="preserve">Jrn:345     </t>
  </si>
  <si>
    <t xml:space="preserve">Mikran Instruments Industries </t>
  </si>
  <si>
    <t xml:space="preserve">Towards Invoice No:29/2014-15                     </t>
  </si>
  <si>
    <t xml:space="preserve">Jrn:346     </t>
  </si>
  <si>
    <t xml:space="preserve">Towards Invoice No:30/2014-15                     </t>
  </si>
  <si>
    <t xml:space="preserve">Jrn:216     </t>
  </si>
  <si>
    <t xml:space="preserve">S.P.Fine Chemicals            </t>
  </si>
  <si>
    <t xml:space="preserve">Towards Invoice No:55,56 &amp; 57                     </t>
  </si>
  <si>
    <t xml:space="preserve">Jrn:444     </t>
  </si>
  <si>
    <t xml:space="preserve">Towards Invoice No:89,90 &amp; 91                     </t>
  </si>
  <si>
    <t xml:space="preserve">Jrn:265     </t>
  </si>
  <si>
    <t xml:space="preserve">Soft X Technologies Pvt Ltd   </t>
  </si>
  <si>
    <t xml:space="preserve">Towards Invoice No:SX1201415                      </t>
  </si>
  <si>
    <t>S&amp;H Lab Equipment A/c For the FY:-2014-15</t>
  </si>
  <si>
    <t>Physics Lab Equipment</t>
  </si>
  <si>
    <t>Chemistry Lab Equipment</t>
  </si>
  <si>
    <t>English Lab Equipment</t>
  </si>
  <si>
    <t xml:space="preserve">Jrn:68      </t>
  </si>
  <si>
    <t xml:space="preserve">Zenpower Solutions            </t>
  </si>
  <si>
    <t xml:space="preserve">Towards invoice No:46                             </t>
  </si>
  <si>
    <t xml:space="preserve">Jrn:129     </t>
  </si>
  <si>
    <t xml:space="preserve">Towards Invoice No : 73                           </t>
  </si>
  <si>
    <t xml:space="preserve">Jrn:138     </t>
  </si>
  <si>
    <t xml:space="preserve">Digy Soft Technologies        </t>
  </si>
  <si>
    <t xml:space="preserve">Towards invoice No;2k14/10                        </t>
  </si>
  <si>
    <t xml:space="preserve">Jrn:189     </t>
  </si>
  <si>
    <t>Innovent Engineering Solutions</t>
  </si>
  <si>
    <t xml:space="preserve">Towards Invoice No:IES/SA/I/049/14-15             </t>
  </si>
  <si>
    <t xml:space="preserve">Jrn:260     </t>
  </si>
  <si>
    <t xml:space="preserve">MTAB Engineers PVT.LTD        </t>
  </si>
  <si>
    <t xml:space="preserve">Towards Invoice No:082 &amp; 047                      </t>
  </si>
  <si>
    <t>Mechanical Lab Equipment</t>
  </si>
  <si>
    <t>Prepard by : Accounts Officer</t>
  </si>
  <si>
    <t>Budget Approved Amount</t>
  </si>
  <si>
    <t xml:space="preserve">Budget Allocation, Utilisation, and Public Accounting </t>
  </si>
  <si>
    <t>A.Y:2019-20</t>
  </si>
  <si>
    <t>A.Y:2018-19</t>
  </si>
  <si>
    <t>A.Y:2017-18</t>
  </si>
  <si>
    <t>A.Y:2016-17</t>
  </si>
  <si>
    <t>F.D.P's &amp; Workshop &amp; P.P Incentives</t>
  </si>
  <si>
    <t>Student Project Technical Activ,&amp; Incentives</t>
  </si>
  <si>
    <t>Utilisation  Audited Amt in Rs.</t>
  </si>
  <si>
    <t>Four previous financial years.</t>
  </si>
  <si>
    <t>S.No</t>
  </si>
  <si>
    <t xml:space="preserve">Details </t>
  </si>
  <si>
    <t xml:space="preserve"> Budgeted Approved </t>
  </si>
  <si>
    <t xml:space="preserve">Utilisation Amt (UnAudited-31 Mar'2020) </t>
  </si>
  <si>
    <t xml:space="preserve">Utilisation Amt (Audited) </t>
  </si>
  <si>
    <t>PART-A (Capital  Expenditure)</t>
  </si>
  <si>
    <t>2019-20</t>
  </si>
  <si>
    <t>2018-19</t>
  </si>
  <si>
    <t>2017-18</t>
  </si>
  <si>
    <t>2016-17</t>
  </si>
  <si>
    <t>2015-16</t>
  </si>
  <si>
    <t>Physical Infrastructure Built-Up</t>
  </si>
  <si>
    <t xml:space="preserve">a) Land &amp; Building </t>
  </si>
  <si>
    <t xml:space="preserve">b) Furniture &amp; Fixtures </t>
  </si>
  <si>
    <t>c) Vehicles</t>
  </si>
  <si>
    <t>d) Other Equipments</t>
  </si>
  <si>
    <t>Laboratory  Equipments</t>
  </si>
  <si>
    <t xml:space="preserve">Software </t>
  </si>
  <si>
    <t xml:space="preserve">Library Text Books &amp; Journals </t>
  </si>
  <si>
    <t xml:space="preserve"> R &amp; D</t>
  </si>
  <si>
    <t>Sub Total</t>
  </si>
  <si>
    <t>PART-B   (Recurring Exp.)</t>
  </si>
  <si>
    <t xml:space="preserve">Staff Salaries </t>
  </si>
  <si>
    <t xml:space="preserve">a) Teaching Staff Salaries </t>
  </si>
  <si>
    <t xml:space="preserve">b) Non-Teaching Staff Salaries </t>
  </si>
  <si>
    <t>c) Admin.&amp; Contingency Staff Salaries</t>
  </si>
  <si>
    <t>College Maintenance &amp; Administration Operational Expenses</t>
  </si>
  <si>
    <t xml:space="preserve">Transport Maintanance </t>
  </si>
  <si>
    <t>a) Vehicles Repairs &amp; Maintanance</t>
  </si>
  <si>
    <t xml:space="preserve">b) Driver's Salaries </t>
  </si>
  <si>
    <t>Laboratory  Consumbles &amp; Maint.</t>
  </si>
  <si>
    <t>R &amp; D</t>
  </si>
  <si>
    <t>a)  Seminars &amp; Workshops</t>
  </si>
  <si>
    <t xml:space="preserve">b) Guest Lectures </t>
  </si>
  <si>
    <t xml:space="preserve">c) Faculty Development Programe </t>
  </si>
  <si>
    <t xml:space="preserve">d) Staff Paper Publication Incentives </t>
  </si>
  <si>
    <t xml:space="preserve">e) Students Project Related </t>
  </si>
  <si>
    <t xml:space="preserve">f) Student Technical Activities </t>
  </si>
  <si>
    <t xml:space="preserve">Training &amp; Placement </t>
  </si>
  <si>
    <t>Finanace Interest Cost</t>
  </si>
  <si>
    <t>INSTITUTE BUDGET  ALLOCATION &amp; UTILISATION  FOR THE F.Y :- (2019-20 &amp; 2018-19 &amp; 2017-18 &amp; 2016-17   )</t>
  </si>
  <si>
    <t>S. No.</t>
  </si>
  <si>
    <t xml:space="preserve">Items </t>
  </si>
  <si>
    <t>Budget</t>
  </si>
  <si>
    <t>approved Amount</t>
  </si>
  <si>
    <t xml:space="preserve">Utilization Amt </t>
  </si>
  <si>
    <t xml:space="preserve">approved Amount </t>
  </si>
  <si>
    <t>(Audited)</t>
  </si>
  <si>
    <t xml:space="preserve">2020-21 </t>
  </si>
  <si>
    <t xml:space="preserve">Library Text Books </t>
  </si>
  <si>
    <t xml:space="preserve">Laboratory Consumables &amp; Maintenance. </t>
  </si>
  <si>
    <t xml:space="preserve">2021-22 </t>
  </si>
  <si>
    <t xml:space="preserve">2022-23 </t>
  </si>
  <si>
    <t xml:space="preserve">Consolidated Statement of budget Allocation &amp; Utilisation of  MBA Department        Rs. in Lakhs </t>
  </si>
  <si>
    <t xml:space="preserve">2023-24 </t>
  </si>
  <si>
    <r>
      <t> </t>
    </r>
    <r>
      <rPr>
        <b/>
        <u val="single"/>
        <sz val="11"/>
        <color indexed="8"/>
        <rFont val="Tt"/>
        <family val="0"/>
      </rPr>
      <t xml:space="preserve">Part A:  Capital Expenses </t>
    </r>
  </si>
  <si>
    <r>
      <t> </t>
    </r>
    <r>
      <rPr>
        <b/>
        <u val="single"/>
        <sz val="11"/>
        <color indexed="8"/>
        <rFont val="Tt"/>
        <family val="0"/>
      </rPr>
      <t xml:space="preserve">Part B:  Recurring Expenses </t>
    </r>
  </si>
  <si>
    <t>Salaries (Teaching,Non-teaching and other staff)</t>
  </si>
  <si>
    <t>IT Infrastructure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</si>
</sst>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_(* #,##0_);_(* \(#,##0\);_(* &quot;-&quot;??_);_(@_)"/>
    <numFmt numFmtId="181" formatCode="_(* #,##0.0_);_(* \(#,##0.0\);_(* &quot;-&quot;??_);_(@_)"/>
    <numFmt numFmtId="182" formatCode="#,##0.0"/>
    <numFmt numFmtId="183" formatCode="0.0"/>
    <numFmt numFmtId="184" formatCode="#,##0.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000"/>
    <numFmt numFmtId="191" formatCode="0.000"/>
    <numFmt numFmtId="192" formatCode="0.0000"/>
    <numFmt numFmtId="193" formatCode="#,##0.000000"/>
    <numFmt numFmtId="194" formatCode="0.000000"/>
    <numFmt numFmtId="195" formatCode="0.00000"/>
  </numFmts>
  <fonts count="1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58"/>
      <name val="Arial"/>
      <family val="2"/>
    </font>
    <font>
      <vertAlign val="superscript"/>
      <sz val="14"/>
      <color indexed="5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b/>
      <u val="single"/>
      <sz val="11"/>
      <color indexed="8"/>
      <name val="T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Mongolian Baiti"/>
      <family val="4"/>
    </font>
    <font>
      <b/>
      <sz val="15"/>
      <color indexed="58"/>
      <name val="Mongolian Baiti"/>
      <family val="4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8"/>
      <name val="Arial"/>
      <family val="2"/>
    </font>
    <font>
      <b/>
      <sz val="12"/>
      <color indexed="12"/>
      <name val="Arial"/>
      <family val="2"/>
    </font>
    <font>
      <b/>
      <sz val="12"/>
      <color indexed="62"/>
      <name val="Arial"/>
      <family val="2"/>
    </font>
    <font>
      <sz val="12"/>
      <color indexed="8"/>
      <name val="Times New Roman"/>
      <family val="1"/>
    </font>
    <font>
      <b/>
      <sz val="12"/>
      <color indexed="12"/>
      <name val="Mongolian Baiti"/>
      <family val="4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sz val="14"/>
      <color indexed="58"/>
      <name val="Arial"/>
      <family val="2"/>
    </font>
    <font>
      <b/>
      <sz val="14"/>
      <color indexed="30"/>
      <name val="Arial"/>
      <family val="2"/>
    </font>
    <font>
      <sz val="14"/>
      <color indexed="13"/>
      <name val="Arial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9.5"/>
      <color indexed="8"/>
      <name val="Arial"/>
      <family val="2"/>
    </font>
    <font>
      <b/>
      <u val="single"/>
      <sz val="16"/>
      <color indexed="8"/>
      <name val="Calibri"/>
      <family val="2"/>
    </font>
    <font>
      <sz val="15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b/>
      <i/>
      <u val="single"/>
      <sz val="13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u val="single"/>
      <sz val="13"/>
      <color indexed="8"/>
      <name val="Calibri"/>
      <family val="2"/>
    </font>
    <font>
      <sz val="11"/>
      <color indexed="8"/>
      <name val="Times New Roman"/>
      <family val="1"/>
    </font>
    <font>
      <i/>
      <u val="single"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56"/>
      <name val="Times New Roman"/>
      <family val="1"/>
    </font>
    <font>
      <b/>
      <sz val="11"/>
      <color indexed="56"/>
      <name val="Tt"/>
      <family val="0"/>
    </font>
    <font>
      <sz val="11"/>
      <color indexed="8"/>
      <name val="Tt"/>
      <family val="0"/>
    </font>
    <font>
      <b/>
      <sz val="11"/>
      <color indexed="8"/>
      <name val="Tt"/>
      <family val="0"/>
    </font>
    <font>
      <b/>
      <u val="single"/>
      <sz val="14"/>
      <color indexed="8"/>
      <name val="Arial"/>
      <family val="2"/>
    </font>
    <font>
      <b/>
      <u val="single"/>
      <sz val="14"/>
      <color indexed="10"/>
      <name val="Arial"/>
      <family val="2"/>
    </font>
    <font>
      <b/>
      <sz val="18"/>
      <color indexed="12"/>
      <name val="Bodoni MT Black"/>
      <family val="1"/>
    </font>
    <font>
      <b/>
      <sz val="16"/>
      <color indexed="10"/>
      <name val="Calibri"/>
      <family val="2"/>
    </font>
    <font>
      <b/>
      <i/>
      <sz val="15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Mongolian Baiti"/>
      <family val="4"/>
    </font>
    <font>
      <b/>
      <sz val="15"/>
      <color rgb="FF003300"/>
      <name val="Mongolian Baiti"/>
      <family val="4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3300"/>
      <name val="Arial"/>
      <family val="2"/>
    </font>
    <font>
      <b/>
      <sz val="12"/>
      <color rgb="FF0000FF"/>
      <name val="Arial"/>
      <family val="2"/>
    </font>
    <font>
      <b/>
      <sz val="12"/>
      <color rgb="FF17365D"/>
      <name val="Arial"/>
      <family val="2"/>
    </font>
    <font>
      <b/>
      <sz val="12"/>
      <color theme="1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Times New Roman"/>
      <family val="1"/>
    </font>
    <font>
      <b/>
      <sz val="12"/>
      <color rgb="FF0000FF"/>
      <name val="Mongolian Baiti"/>
      <family val="4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b/>
      <sz val="14"/>
      <color rgb="FF003300"/>
      <name val="Arial"/>
      <family val="2"/>
    </font>
    <font>
      <sz val="14"/>
      <color theme="1"/>
      <name val="Arial"/>
      <family val="2"/>
    </font>
    <font>
      <sz val="14"/>
      <color rgb="FF0000FF"/>
      <name val="Arial"/>
      <family val="2"/>
    </font>
    <font>
      <sz val="14"/>
      <color rgb="FF000000"/>
      <name val="Arial"/>
      <family val="2"/>
    </font>
    <font>
      <sz val="14"/>
      <color rgb="FF003300"/>
      <name val="Arial"/>
      <family val="2"/>
    </font>
    <font>
      <b/>
      <sz val="14"/>
      <color rgb="FF0070C0"/>
      <name val="Arial"/>
      <family val="2"/>
    </font>
    <font>
      <sz val="14"/>
      <color rgb="FFFFFF00"/>
      <name val="Arial"/>
      <family val="2"/>
    </font>
    <font>
      <b/>
      <sz val="2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0"/>
      <color theme="1"/>
      <name val="Arial"/>
      <family val="2"/>
    </font>
    <font>
      <b/>
      <sz val="9.5"/>
      <color theme="1"/>
      <name val="Arial"/>
      <family val="2"/>
    </font>
    <font>
      <b/>
      <u val="single"/>
      <sz val="16"/>
      <color theme="1"/>
      <name val="Calibri"/>
      <family val="2"/>
    </font>
    <font>
      <sz val="15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3"/>
      <color theme="1"/>
      <name val="Calibri"/>
      <family val="2"/>
    </font>
    <font>
      <b/>
      <i/>
      <u val="single"/>
      <sz val="13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u val="single"/>
      <sz val="13"/>
      <color theme="1"/>
      <name val="Calibri"/>
      <family val="2"/>
    </font>
    <font>
      <sz val="11"/>
      <color theme="1"/>
      <name val="Times New Roman"/>
      <family val="1"/>
    </font>
    <font>
      <i/>
      <u val="single"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rgb="FF003B76"/>
      <name val="Times New Roman"/>
      <family val="1"/>
    </font>
    <font>
      <b/>
      <sz val="11"/>
      <color rgb="FF003B76"/>
      <name val="Tt"/>
      <family val="0"/>
    </font>
    <font>
      <sz val="11"/>
      <color theme="1"/>
      <name val="Tt"/>
      <family val="0"/>
    </font>
    <font>
      <b/>
      <sz val="11"/>
      <color theme="1"/>
      <name val="Tt"/>
      <family val="0"/>
    </font>
    <font>
      <b/>
      <u val="single"/>
      <sz val="11"/>
      <color theme="1"/>
      <name val="Tt"/>
      <family val="0"/>
    </font>
    <font>
      <b/>
      <u val="single"/>
      <sz val="14"/>
      <color theme="1"/>
      <name val="Arial"/>
      <family val="2"/>
    </font>
    <font>
      <b/>
      <u val="single"/>
      <sz val="14"/>
      <color rgb="FFFF0000"/>
      <name val="Arial"/>
      <family val="2"/>
    </font>
    <font>
      <b/>
      <sz val="18"/>
      <color rgb="FF0000FF"/>
      <name val="Bodoni MT Black"/>
      <family val="1"/>
    </font>
    <font>
      <b/>
      <sz val="14"/>
      <color rgb="FF000000"/>
      <name val="Calibri"/>
      <family val="2"/>
    </font>
    <font>
      <b/>
      <sz val="16"/>
      <color rgb="FFFF0000"/>
      <name val="Calibri"/>
      <family val="2"/>
    </font>
    <font>
      <b/>
      <i/>
      <sz val="15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95" fillId="0" borderId="0" xfId="0" applyFont="1" applyAlignment="1">
      <alignment horizontal="justify"/>
    </xf>
    <xf numFmtId="0" fontId="96" fillId="0" borderId="0" xfId="0" applyFont="1" applyAlignment="1">
      <alignment horizontal="right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8" fillId="0" borderId="10" xfId="0" applyFont="1" applyBorder="1" applyAlignment="1">
      <alignment/>
    </xf>
    <xf numFmtId="0" fontId="99" fillId="0" borderId="10" xfId="0" applyFont="1" applyBorder="1" applyAlignment="1">
      <alignment horizontal="right"/>
    </xf>
    <xf numFmtId="0" fontId="99" fillId="0" borderId="10" xfId="0" applyFont="1" applyBorder="1" applyAlignment="1">
      <alignment/>
    </xf>
    <xf numFmtId="0" fontId="100" fillId="0" borderId="10" xfId="0" applyFont="1" applyBorder="1" applyAlignment="1">
      <alignment/>
    </xf>
    <xf numFmtId="0" fontId="100" fillId="33" borderId="10" xfId="0" applyFont="1" applyFill="1" applyBorder="1" applyAlignment="1">
      <alignment horizontal="right"/>
    </xf>
    <xf numFmtId="0" fontId="100" fillId="34" borderId="10" xfId="0" applyFont="1" applyFill="1" applyBorder="1" applyAlignment="1">
      <alignment horizontal="right" vertical="top" wrapText="1"/>
    </xf>
    <xf numFmtId="0" fontId="100" fillId="0" borderId="10" xfId="0" applyFont="1" applyBorder="1" applyAlignment="1">
      <alignment horizontal="right" vertical="top" wrapText="1"/>
    </xf>
    <xf numFmtId="0" fontId="101" fillId="0" borderId="10" xfId="0" applyFont="1" applyBorder="1" applyAlignment="1">
      <alignment horizontal="right" vertical="top" wrapText="1"/>
    </xf>
    <xf numFmtId="0" fontId="99" fillId="0" borderId="11" xfId="0" applyFont="1" applyBorder="1" applyAlignment="1">
      <alignment horizontal="right"/>
    </xf>
    <xf numFmtId="0" fontId="99" fillId="0" borderId="11" xfId="0" applyFont="1" applyBorder="1" applyAlignment="1">
      <alignment/>
    </xf>
    <xf numFmtId="0" fontId="100" fillId="0" borderId="11" xfId="0" applyFont="1" applyBorder="1" applyAlignment="1">
      <alignment horizontal="right" vertical="top" wrapText="1"/>
    </xf>
    <xf numFmtId="0" fontId="98" fillId="0" borderId="11" xfId="0" applyFont="1" applyBorder="1" applyAlignment="1">
      <alignment/>
    </xf>
    <xf numFmtId="0" fontId="98" fillId="0" borderId="12" xfId="0" applyFont="1" applyBorder="1" applyAlignment="1">
      <alignment/>
    </xf>
    <xf numFmtId="0" fontId="99" fillId="0" borderId="13" xfId="0" applyFont="1" applyBorder="1" applyAlignment="1">
      <alignment horizontal="right"/>
    </xf>
    <xf numFmtId="0" fontId="100" fillId="0" borderId="14" xfId="0" applyFont="1" applyBorder="1" applyAlignment="1">
      <alignment/>
    </xf>
    <xf numFmtId="0" fontId="98" fillId="0" borderId="15" xfId="0" applyFont="1" applyBorder="1" applyAlignment="1">
      <alignment/>
    </xf>
    <xf numFmtId="0" fontId="99" fillId="0" borderId="12" xfId="0" applyFont="1" applyBorder="1" applyAlignment="1">
      <alignment horizontal="right"/>
    </xf>
    <xf numFmtId="0" fontId="99" fillId="0" borderId="12" xfId="0" applyFont="1" applyBorder="1" applyAlignment="1">
      <alignment/>
    </xf>
    <xf numFmtId="0" fontId="100" fillId="34" borderId="12" xfId="0" applyFont="1" applyFill="1" applyBorder="1" applyAlignment="1">
      <alignment horizontal="right" vertical="top" wrapText="1"/>
    </xf>
    <xf numFmtId="0" fontId="100" fillId="33" borderId="13" xfId="0" applyFont="1" applyFill="1" applyBorder="1" applyAlignment="1">
      <alignment horizontal="center"/>
    </xf>
    <xf numFmtId="0" fontId="100" fillId="33" borderId="14" xfId="0" applyFont="1" applyFill="1" applyBorder="1" applyAlignment="1">
      <alignment horizontal="center"/>
    </xf>
    <xf numFmtId="0" fontId="100" fillId="33" borderId="14" xfId="0" applyFont="1" applyFill="1" applyBorder="1" applyAlignment="1">
      <alignment wrapText="1"/>
    </xf>
    <xf numFmtId="0" fontId="102" fillId="0" borderId="0" xfId="0" applyFont="1" applyAlignment="1">
      <alignment/>
    </xf>
    <xf numFmtId="0" fontId="100" fillId="0" borderId="12" xfId="0" applyFont="1" applyBorder="1" applyAlignment="1">
      <alignment horizontal="right" vertical="top" wrapText="1"/>
    </xf>
    <xf numFmtId="0" fontId="100" fillId="33" borderId="14" xfId="0" applyFont="1" applyFill="1" applyBorder="1" applyAlignment="1">
      <alignment horizontal="center" wrapText="1"/>
    </xf>
    <xf numFmtId="0" fontId="98" fillId="0" borderId="14" xfId="0" applyFont="1" applyBorder="1" applyAlignment="1">
      <alignment/>
    </xf>
    <xf numFmtId="0" fontId="100" fillId="33" borderId="10" xfId="0" applyFont="1" applyFill="1" applyBorder="1" applyAlignment="1">
      <alignment horizontal="right" wrapText="1"/>
    </xf>
    <xf numFmtId="0" fontId="100" fillId="0" borderId="14" xfId="0" applyFont="1" applyBorder="1" applyAlignment="1">
      <alignment horizontal="right" wrapText="1"/>
    </xf>
    <xf numFmtId="0" fontId="103" fillId="33" borderId="14" xfId="0" applyFont="1" applyFill="1" applyBorder="1" applyAlignment="1">
      <alignment wrapText="1"/>
    </xf>
    <xf numFmtId="0" fontId="103" fillId="0" borderId="15" xfId="0" applyFont="1" applyBorder="1" applyAlignment="1">
      <alignment horizontal="center"/>
    </xf>
    <xf numFmtId="0" fontId="104" fillId="0" borderId="0" xfId="0" applyFont="1" applyAlignment="1">
      <alignment/>
    </xf>
    <xf numFmtId="0" fontId="105" fillId="0" borderId="0" xfId="0" applyFont="1" applyAlignment="1">
      <alignment horizontal="justify"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 horizontal="right"/>
    </xf>
    <xf numFmtId="0" fontId="107" fillId="0" borderId="0" xfId="0" applyFont="1" applyAlignment="1">
      <alignment/>
    </xf>
    <xf numFmtId="0" fontId="108" fillId="0" borderId="10" xfId="0" applyFont="1" applyBorder="1" applyAlignment="1">
      <alignment/>
    </xf>
    <xf numFmtId="0" fontId="109" fillId="0" borderId="10" xfId="0" applyFont="1" applyBorder="1" applyAlignment="1">
      <alignment/>
    </xf>
    <xf numFmtId="0" fontId="107" fillId="0" borderId="10" xfId="0" applyFont="1" applyBorder="1" applyAlignment="1">
      <alignment horizontal="center"/>
    </xf>
    <xf numFmtId="0" fontId="107" fillId="0" borderId="11" xfId="0" applyFont="1" applyBorder="1" applyAlignment="1">
      <alignment horizontal="center"/>
    </xf>
    <xf numFmtId="0" fontId="108" fillId="0" borderId="13" xfId="0" applyFont="1" applyBorder="1" applyAlignment="1">
      <alignment horizontal="right"/>
    </xf>
    <xf numFmtId="0" fontId="107" fillId="0" borderId="14" xfId="0" applyFont="1" applyBorder="1" applyAlignment="1">
      <alignment/>
    </xf>
    <xf numFmtId="0" fontId="110" fillId="0" borderId="14" xfId="0" applyFont="1" applyBorder="1" applyAlignment="1">
      <alignment horizontal="center"/>
    </xf>
    <xf numFmtId="0" fontId="111" fillId="0" borderId="15" xfId="0" applyFont="1" applyBorder="1" applyAlignment="1">
      <alignment/>
    </xf>
    <xf numFmtId="0" fontId="107" fillId="0" borderId="10" xfId="0" applyFont="1" applyBorder="1" applyAlignment="1">
      <alignment horizontal="right" vertical="top" wrapText="1"/>
    </xf>
    <xf numFmtId="3" fontId="107" fillId="0" borderId="10" xfId="0" applyNumberFormat="1" applyFont="1" applyBorder="1" applyAlignment="1">
      <alignment horizontal="right" vertical="top" wrapText="1"/>
    </xf>
    <xf numFmtId="3" fontId="107" fillId="0" borderId="11" xfId="0" applyNumberFormat="1" applyFont="1" applyBorder="1" applyAlignment="1">
      <alignment horizontal="right" vertical="top" wrapText="1"/>
    </xf>
    <xf numFmtId="0" fontId="107" fillId="0" borderId="14" xfId="0" applyFont="1" applyBorder="1" applyAlignment="1">
      <alignment horizontal="right" vertical="top" wrapText="1"/>
    </xf>
    <xf numFmtId="0" fontId="107" fillId="35" borderId="10" xfId="0" applyFont="1" applyFill="1" applyBorder="1" applyAlignment="1">
      <alignment horizontal="right" vertical="top" wrapText="1"/>
    </xf>
    <xf numFmtId="0" fontId="112" fillId="0" borderId="10" xfId="0" applyFont="1" applyBorder="1" applyAlignment="1">
      <alignment/>
    </xf>
    <xf numFmtId="0" fontId="112" fillId="0" borderId="11" xfId="0" applyFont="1" applyBorder="1" applyAlignment="1">
      <alignment/>
    </xf>
    <xf numFmtId="0" fontId="112" fillId="0" borderId="12" xfId="0" applyFont="1" applyBorder="1" applyAlignment="1">
      <alignment/>
    </xf>
    <xf numFmtId="0" fontId="107" fillId="35" borderId="12" xfId="0" applyFont="1" applyFill="1" applyBorder="1" applyAlignment="1">
      <alignment horizontal="right" vertical="top" wrapText="1"/>
    </xf>
    <xf numFmtId="0" fontId="109" fillId="0" borderId="12" xfId="0" applyFont="1" applyBorder="1" applyAlignment="1">
      <alignment/>
    </xf>
    <xf numFmtId="0" fontId="107" fillId="33" borderId="13" xfId="0" applyFont="1" applyFill="1" applyBorder="1" applyAlignment="1">
      <alignment horizontal="center"/>
    </xf>
    <xf numFmtId="0" fontId="107" fillId="33" borderId="14" xfId="0" applyFont="1" applyFill="1" applyBorder="1" applyAlignment="1">
      <alignment horizontal="center"/>
    </xf>
    <xf numFmtId="0" fontId="107" fillId="33" borderId="14" xfId="0" applyFont="1" applyFill="1" applyBorder="1" applyAlignment="1">
      <alignment horizontal="center" wrapText="1"/>
    </xf>
    <xf numFmtId="0" fontId="107" fillId="33" borderId="15" xfId="0" applyFont="1" applyFill="1" applyBorder="1" applyAlignment="1">
      <alignment horizontal="center"/>
    </xf>
    <xf numFmtId="0" fontId="108" fillId="0" borderId="16" xfId="0" applyFont="1" applyBorder="1" applyAlignment="1">
      <alignment horizontal="right"/>
    </xf>
    <xf numFmtId="0" fontId="111" fillId="0" borderId="17" xfId="0" applyFont="1" applyBorder="1" applyAlignment="1">
      <alignment/>
    </xf>
    <xf numFmtId="0" fontId="108" fillId="0" borderId="18" xfId="0" applyFont="1" applyBorder="1" applyAlignment="1">
      <alignment horizontal="right"/>
    </xf>
    <xf numFmtId="0" fontId="111" fillId="0" borderId="19" xfId="0" applyFont="1" applyBorder="1" applyAlignment="1">
      <alignment/>
    </xf>
    <xf numFmtId="0" fontId="109" fillId="0" borderId="19" xfId="0" applyFont="1" applyBorder="1" applyAlignment="1">
      <alignment/>
    </xf>
    <xf numFmtId="0" fontId="108" fillId="0" borderId="20" xfId="0" applyFont="1" applyBorder="1" applyAlignment="1">
      <alignment horizontal="right"/>
    </xf>
    <xf numFmtId="0" fontId="109" fillId="0" borderId="21" xfId="0" applyFont="1" applyBorder="1" applyAlignment="1">
      <alignment/>
    </xf>
    <xf numFmtId="0" fontId="108" fillId="0" borderId="22" xfId="0" applyFont="1" applyBorder="1" applyAlignment="1">
      <alignment horizontal="right"/>
    </xf>
    <xf numFmtId="0" fontId="107" fillId="0" borderId="23" xfId="0" applyFont="1" applyBorder="1" applyAlignment="1">
      <alignment/>
    </xf>
    <xf numFmtId="0" fontId="113" fillId="0" borderId="23" xfId="0" applyFont="1" applyBorder="1" applyAlignment="1">
      <alignment horizontal="right" vertical="top" wrapText="1"/>
    </xf>
    <xf numFmtId="0" fontId="114" fillId="0" borderId="23" xfId="0" applyFont="1" applyBorder="1" applyAlignment="1">
      <alignment horizontal="center"/>
    </xf>
    <xf numFmtId="0" fontId="114" fillId="0" borderId="24" xfId="0" applyFont="1" applyBorder="1" applyAlignment="1">
      <alignment/>
    </xf>
    <xf numFmtId="0" fontId="107" fillId="33" borderId="13" xfId="0" applyFont="1" applyFill="1" applyBorder="1" applyAlignment="1">
      <alignment horizontal="right"/>
    </xf>
    <xf numFmtId="0" fontId="107" fillId="33" borderId="14" xfId="0" applyFont="1" applyFill="1" applyBorder="1" applyAlignment="1">
      <alignment horizontal="right"/>
    </xf>
    <xf numFmtId="0" fontId="110" fillId="33" borderId="14" xfId="0" applyFont="1" applyFill="1" applyBorder="1" applyAlignment="1">
      <alignment horizontal="center"/>
    </xf>
    <xf numFmtId="0" fontId="111" fillId="33" borderId="15" xfId="0" applyFont="1" applyFill="1" applyBorder="1" applyAlignment="1">
      <alignment/>
    </xf>
    <xf numFmtId="0" fontId="108" fillId="0" borderId="12" xfId="0" applyFont="1" applyBorder="1" applyAlignment="1">
      <alignment/>
    </xf>
    <xf numFmtId="3" fontId="107" fillId="0" borderId="12" xfId="0" applyNumberFormat="1" applyFont="1" applyBorder="1" applyAlignment="1">
      <alignment horizontal="right" vertical="top" wrapText="1"/>
    </xf>
    <xf numFmtId="0" fontId="107" fillId="0" borderId="12" xfId="0" applyFont="1" applyBorder="1" applyAlignment="1">
      <alignment horizontal="center"/>
    </xf>
    <xf numFmtId="0" fontId="107" fillId="33" borderId="14" xfId="0" applyFont="1" applyFill="1" applyBorder="1" applyAlignment="1">
      <alignment horizontal="right" vertical="top" wrapText="1"/>
    </xf>
    <xf numFmtId="0" fontId="115" fillId="0" borderId="0" xfId="0" applyFont="1" applyAlignment="1">
      <alignment/>
    </xf>
    <xf numFmtId="0" fontId="116" fillId="0" borderId="10" xfId="0" applyFont="1" applyBorder="1" applyAlignment="1">
      <alignment horizontal="center"/>
    </xf>
    <xf numFmtId="0" fontId="117" fillId="0" borderId="10" xfId="0" applyFont="1" applyBorder="1" applyAlignment="1">
      <alignment horizontal="center"/>
    </xf>
    <xf numFmtId="0" fontId="117" fillId="0" borderId="10" xfId="0" applyFont="1" applyBorder="1" applyAlignment="1">
      <alignment/>
    </xf>
    <xf numFmtId="0" fontId="117" fillId="0" borderId="10" xfId="0" applyFont="1" applyBorder="1" applyAlignment="1">
      <alignment/>
    </xf>
    <xf numFmtId="0" fontId="117" fillId="0" borderId="10" xfId="0" applyFont="1" applyBorder="1" applyAlignment="1">
      <alignment horizontal="right"/>
    </xf>
    <xf numFmtId="0" fontId="117" fillId="0" borderId="11" xfId="0" applyFont="1" applyBorder="1" applyAlignment="1">
      <alignment/>
    </xf>
    <xf numFmtId="0" fontId="117" fillId="0" borderId="12" xfId="0" applyFont="1" applyBorder="1" applyAlignment="1">
      <alignment/>
    </xf>
    <xf numFmtId="0" fontId="117" fillId="0" borderId="12" xfId="0" applyFont="1" applyBorder="1" applyAlignment="1">
      <alignment horizontal="center"/>
    </xf>
    <xf numFmtId="0" fontId="117" fillId="0" borderId="12" xfId="0" applyFont="1" applyBorder="1" applyAlignment="1">
      <alignment horizontal="right"/>
    </xf>
    <xf numFmtId="0" fontId="116" fillId="0" borderId="13" xfId="0" applyFont="1" applyBorder="1" applyAlignment="1">
      <alignment horizontal="center"/>
    </xf>
    <xf numFmtId="0" fontId="116" fillId="0" borderId="14" xfId="0" applyFont="1" applyBorder="1" applyAlignment="1">
      <alignment horizontal="center"/>
    </xf>
    <xf numFmtId="0" fontId="116" fillId="0" borderId="14" xfId="0" applyFont="1" applyBorder="1" applyAlignment="1">
      <alignment horizontal="center" wrapText="1"/>
    </xf>
    <xf numFmtId="0" fontId="93" fillId="0" borderId="15" xfId="0" applyFont="1" applyBorder="1" applyAlignment="1">
      <alignment/>
    </xf>
    <xf numFmtId="0" fontId="117" fillId="0" borderId="11" xfId="0" applyFont="1" applyBorder="1" applyAlignment="1">
      <alignment horizontal="center"/>
    </xf>
    <xf numFmtId="0" fontId="117" fillId="0" borderId="11" xfId="0" applyFont="1" applyBorder="1" applyAlignment="1">
      <alignment horizontal="right"/>
    </xf>
    <xf numFmtId="0" fontId="117" fillId="0" borderId="13" xfId="0" applyFont="1" applyBorder="1" applyAlignment="1">
      <alignment horizontal="center"/>
    </xf>
    <xf numFmtId="0" fontId="116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118" fillId="0" borderId="14" xfId="0" applyFont="1" applyBorder="1" applyAlignment="1">
      <alignment horizontal="right"/>
    </xf>
    <xf numFmtId="0" fontId="117" fillId="0" borderId="14" xfId="0" applyFont="1" applyBorder="1" applyAlignment="1">
      <alignment horizontal="center"/>
    </xf>
    <xf numFmtId="0" fontId="116" fillId="0" borderId="25" xfId="0" applyFont="1" applyBorder="1" applyAlignment="1">
      <alignment horizontal="center"/>
    </xf>
    <xf numFmtId="0" fontId="117" fillId="0" borderId="26" xfId="0" applyFont="1" applyBorder="1" applyAlignment="1">
      <alignment horizontal="center"/>
    </xf>
    <xf numFmtId="0" fontId="117" fillId="0" borderId="27" xfId="0" applyFont="1" applyBorder="1" applyAlignment="1">
      <alignment horizontal="right"/>
    </xf>
    <xf numFmtId="0" fontId="116" fillId="0" borderId="28" xfId="0" applyFont="1" applyBorder="1" applyAlignment="1">
      <alignment horizontal="right"/>
    </xf>
    <xf numFmtId="0" fontId="117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17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17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16" fillId="0" borderId="18" xfId="0" applyFont="1" applyBorder="1" applyAlignment="1">
      <alignment horizontal="center"/>
    </xf>
    <xf numFmtId="0" fontId="0" fillId="0" borderId="29" xfId="0" applyBorder="1" applyAlignment="1">
      <alignment/>
    </xf>
    <xf numFmtId="0" fontId="117" fillId="0" borderId="12" xfId="0" applyFont="1" applyBorder="1" applyAlignment="1">
      <alignment/>
    </xf>
    <xf numFmtId="0" fontId="119" fillId="0" borderId="10" xfId="0" applyFont="1" applyBorder="1" applyAlignment="1">
      <alignment horizontal="right"/>
    </xf>
    <xf numFmtId="0" fontId="119" fillId="0" borderId="10" xfId="0" applyFont="1" applyBorder="1" applyAlignment="1">
      <alignment/>
    </xf>
    <xf numFmtId="0" fontId="98" fillId="0" borderId="12" xfId="0" applyFont="1" applyBorder="1" applyAlignment="1">
      <alignment wrapText="1"/>
    </xf>
    <xf numFmtId="0" fontId="98" fillId="0" borderId="10" xfId="0" applyFont="1" applyBorder="1" applyAlignment="1">
      <alignment wrapText="1"/>
    </xf>
    <xf numFmtId="0" fontId="102" fillId="33" borderId="13" xfId="0" applyFont="1" applyFill="1" applyBorder="1" applyAlignment="1">
      <alignment wrapText="1"/>
    </xf>
    <xf numFmtId="0" fontId="102" fillId="33" borderId="14" xfId="0" applyFont="1" applyFill="1" applyBorder="1" applyAlignment="1">
      <alignment horizontal="center" wrapText="1"/>
    </xf>
    <xf numFmtId="0" fontId="102" fillId="33" borderId="14" xfId="0" applyFont="1" applyFill="1" applyBorder="1" applyAlignment="1">
      <alignment horizontal="right" wrapText="1"/>
    </xf>
    <xf numFmtId="0" fontId="102" fillId="33" borderId="14" xfId="0" applyFont="1" applyFill="1" applyBorder="1" applyAlignment="1">
      <alignment wrapText="1"/>
    </xf>
    <xf numFmtId="0" fontId="102" fillId="33" borderId="15" xfId="0" applyFont="1" applyFill="1" applyBorder="1" applyAlignment="1">
      <alignment horizontal="center" wrapText="1"/>
    </xf>
    <xf numFmtId="0" fontId="98" fillId="0" borderId="12" xfId="0" applyFont="1" applyBorder="1" applyAlignment="1">
      <alignment horizontal="right" wrapText="1"/>
    </xf>
    <xf numFmtId="0" fontId="98" fillId="0" borderId="10" xfId="0" applyFont="1" applyBorder="1" applyAlignment="1">
      <alignment horizontal="right" wrapText="1"/>
    </xf>
    <xf numFmtId="0" fontId="98" fillId="34" borderId="10" xfId="0" applyFont="1" applyFill="1" applyBorder="1" applyAlignment="1">
      <alignment horizontal="right" wrapText="1"/>
    </xf>
    <xf numFmtId="0" fontId="98" fillId="0" borderId="11" xfId="0" applyFont="1" applyBorder="1" applyAlignment="1">
      <alignment wrapText="1"/>
    </xf>
    <xf numFmtId="0" fontId="98" fillId="0" borderId="11" xfId="0" applyFont="1" applyBorder="1" applyAlignment="1">
      <alignment horizontal="right" wrapText="1"/>
    </xf>
    <xf numFmtId="0" fontId="98" fillId="33" borderId="13" xfId="0" applyFont="1" applyFill="1" applyBorder="1" applyAlignment="1">
      <alignment wrapText="1"/>
    </xf>
    <xf numFmtId="0" fontId="98" fillId="33" borderId="14" xfId="0" applyFont="1" applyFill="1" applyBorder="1" applyAlignment="1">
      <alignment wrapText="1"/>
    </xf>
    <xf numFmtId="0" fontId="98" fillId="33" borderId="15" xfId="0" applyFont="1" applyFill="1" applyBorder="1" applyAlignment="1">
      <alignment wrapText="1"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102" fillId="0" borderId="0" xfId="0" applyFont="1" applyAlignment="1">
      <alignment/>
    </xf>
    <xf numFmtId="0" fontId="102" fillId="33" borderId="15" xfId="0" applyFont="1" applyFill="1" applyBorder="1" applyAlignment="1">
      <alignment wrapText="1"/>
    </xf>
    <xf numFmtId="0" fontId="120" fillId="0" borderId="0" xfId="0" applyFont="1" applyAlignment="1">
      <alignment/>
    </xf>
    <xf numFmtId="0" fontId="93" fillId="0" borderId="18" xfId="0" applyFont="1" applyBorder="1" applyAlignment="1">
      <alignment/>
    </xf>
    <xf numFmtId="180" fontId="0" fillId="0" borderId="19" xfId="42" applyNumberFormat="1" applyFont="1" applyBorder="1" applyAlignment="1">
      <alignment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93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93" fillId="0" borderId="0" xfId="0" applyFont="1" applyAlignment="1">
      <alignment/>
    </xf>
    <xf numFmtId="0" fontId="93" fillId="0" borderId="30" xfId="0" applyFont="1" applyBorder="1" applyAlignment="1">
      <alignment/>
    </xf>
    <xf numFmtId="180" fontId="93" fillId="0" borderId="30" xfId="42" applyNumberFormat="1" applyFont="1" applyBorder="1" applyAlignment="1">
      <alignment/>
    </xf>
    <xf numFmtId="180" fontId="93" fillId="0" borderId="31" xfId="42" applyNumberFormat="1" applyFont="1" applyBorder="1" applyAlignment="1">
      <alignment/>
    </xf>
    <xf numFmtId="14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93" fillId="0" borderId="32" xfId="0" applyFont="1" applyBorder="1" applyAlignment="1">
      <alignment/>
    </xf>
    <xf numFmtId="0" fontId="9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3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3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93" fillId="0" borderId="40" xfId="0" applyFont="1" applyBorder="1" applyAlignment="1">
      <alignment horizontal="center"/>
    </xf>
    <xf numFmtId="0" fontId="93" fillId="0" borderId="41" xfId="0" applyFont="1" applyBorder="1" applyAlignment="1">
      <alignment/>
    </xf>
    <xf numFmtId="0" fontId="0" fillId="0" borderId="41" xfId="0" applyBorder="1" applyAlignment="1">
      <alignment/>
    </xf>
    <xf numFmtId="180" fontId="0" fillId="0" borderId="41" xfId="42" applyNumberFormat="1" applyFont="1" applyBorder="1" applyAlignment="1">
      <alignment/>
    </xf>
    <xf numFmtId="0" fontId="93" fillId="0" borderId="38" xfId="0" applyFont="1" applyBorder="1" applyAlignment="1">
      <alignment horizontal="center"/>
    </xf>
    <xf numFmtId="0" fontId="93" fillId="0" borderId="39" xfId="0" applyFont="1" applyBorder="1" applyAlignment="1">
      <alignment horizontal="left"/>
    </xf>
    <xf numFmtId="180" fontId="93" fillId="0" borderId="39" xfId="0" applyNumberFormat="1" applyFont="1" applyBorder="1" applyAlignment="1">
      <alignment/>
    </xf>
    <xf numFmtId="180" fontId="0" fillId="0" borderId="42" xfId="42" applyNumberFormat="1" applyFont="1" applyBorder="1" applyAlignment="1">
      <alignment/>
    </xf>
    <xf numFmtId="180" fontId="0" fillId="0" borderId="32" xfId="42" applyNumberFormat="1" applyFont="1" applyBorder="1" applyAlignment="1">
      <alignment/>
    </xf>
    <xf numFmtId="180" fontId="0" fillId="0" borderId="34" xfId="42" applyNumberFormat="1" applyFont="1" applyBorder="1" applyAlignment="1">
      <alignment/>
    </xf>
    <xf numFmtId="180" fontId="93" fillId="0" borderId="43" xfId="0" applyNumberFormat="1" applyFont="1" applyBorder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93" fillId="33" borderId="43" xfId="0" applyFont="1" applyFill="1" applyBorder="1" applyAlignment="1">
      <alignment wrapText="1"/>
    </xf>
    <xf numFmtId="180" fontId="93" fillId="0" borderId="18" xfId="42" applyNumberFormat="1" applyFont="1" applyBorder="1" applyAlignment="1">
      <alignment/>
    </xf>
    <xf numFmtId="180" fontId="93" fillId="0" borderId="20" xfId="42" applyNumberFormat="1" applyFont="1" applyBorder="1" applyAlignment="1">
      <alignment/>
    </xf>
    <xf numFmtId="0" fontId="122" fillId="0" borderId="40" xfId="0" applyFont="1" applyBorder="1" applyAlignment="1">
      <alignment/>
    </xf>
    <xf numFmtId="0" fontId="121" fillId="0" borderId="33" xfId="0" applyFont="1" applyBorder="1" applyAlignment="1">
      <alignment horizontal="center"/>
    </xf>
    <xf numFmtId="0" fontId="125" fillId="33" borderId="44" xfId="0" applyFont="1" applyFill="1" applyBorder="1" applyAlignment="1">
      <alignment horizontal="center"/>
    </xf>
    <xf numFmtId="0" fontId="121" fillId="0" borderId="45" xfId="0" applyFont="1" applyBorder="1" applyAlignment="1">
      <alignment horizontal="left"/>
    </xf>
    <xf numFmtId="0" fontId="125" fillId="33" borderId="45" xfId="0" applyFont="1" applyFill="1" applyBorder="1" applyAlignment="1">
      <alignment horizontal="center"/>
    </xf>
    <xf numFmtId="0" fontId="121" fillId="0" borderId="45" xfId="0" applyFont="1" applyBorder="1" applyAlignment="1">
      <alignment horizontal="left" wrapText="1"/>
    </xf>
    <xf numFmtId="0" fontId="125" fillId="33" borderId="45" xfId="0" applyFont="1" applyFill="1" applyBorder="1" applyAlignment="1">
      <alignment horizontal="center" wrapText="1"/>
    </xf>
    <xf numFmtId="0" fontId="122" fillId="0" borderId="33" xfId="0" applyFont="1" applyBorder="1" applyAlignment="1">
      <alignment horizontal="right" wrapText="1"/>
    </xf>
    <xf numFmtId="0" fontId="122" fillId="0" borderId="33" xfId="0" applyFont="1" applyBorder="1" applyAlignment="1">
      <alignment horizontal="right"/>
    </xf>
    <xf numFmtId="0" fontId="121" fillId="0" borderId="35" xfId="0" applyFont="1" applyBorder="1" applyAlignment="1">
      <alignment horizontal="center"/>
    </xf>
    <xf numFmtId="0" fontId="121" fillId="0" borderId="46" xfId="0" applyFont="1" applyBorder="1" applyAlignment="1">
      <alignment horizontal="left"/>
    </xf>
    <xf numFmtId="0" fontId="122" fillId="0" borderId="35" xfId="0" applyFont="1" applyBorder="1" applyAlignment="1">
      <alignment horizontal="right" wrapText="1"/>
    </xf>
    <xf numFmtId="0" fontId="121" fillId="0" borderId="38" xfId="0" applyFont="1" applyBorder="1" applyAlignment="1">
      <alignment/>
    </xf>
    <xf numFmtId="180" fontId="122" fillId="0" borderId="47" xfId="42" applyNumberFormat="1" applyFont="1" applyFill="1" applyBorder="1" applyAlignment="1">
      <alignment horizontal="center" wrapText="1"/>
    </xf>
    <xf numFmtId="180" fontId="122" fillId="0" borderId="38" xfId="42" applyNumberFormat="1" applyFont="1" applyBorder="1" applyAlignment="1">
      <alignment/>
    </xf>
    <xf numFmtId="0" fontId="126" fillId="0" borderId="38" xfId="0" applyFont="1" applyBorder="1" applyAlignment="1">
      <alignment/>
    </xf>
    <xf numFmtId="0" fontId="126" fillId="0" borderId="47" xfId="0" applyFont="1" applyBorder="1" applyAlignment="1">
      <alignment horizontal="center"/>
    </xf>
    <xf numFmtId="0" fontId="126" fillId="0" borderId="38" xfId="0" applyFont="1" applyBorder="1" applyAlignment="1">
      <alignment horizontal="center" wrapText="1"/>
    </xf>
    <xf numFmtId="0" fontId="126" fillId="0" borderId="43" xfId="0" applyFont="1" applyBorder="1" applyAlignment="1">
      <alignment horizontal="center" wrapText="1"/>
    </xf>
    <xf numFmtId="0" fontId="123" fillId="33" borderId="0" xfId="0" applyFont="1" applyFill="1" applyAlignment="1">
      <alignment/>
    </xf>
    <xf numFmtId="3" fontId="0" fillId="0" borderId="32" xfId="0" applyNumberFormat="1" applyBorder="1" applyAlignment="1">
      <alignment/>
    </xf>
    <xf numFmtId="3" fontId="93" fillId="0" borderId="32" xfId="0" applyNumberFormat="1" applyFont="1" applyBorder="1" applyAlignment="1">
      <alignment/>
    </xf>
    <xf numFmtId="0" fontId="93" fillId="33" borderId="32" xfId="0" applyFont="1" applyFill="1" applyBorder="1" applyAlignment="1">
      <alignment/>
    </xf>
    <xf numFmtId="4" fontId="0" fillId="0" borderId="32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33" borderId="0" xfId="0" applyFill="1" applyAlignment="1">
      <alignment/>
    </xf>
    <xf numFmtId="0" fontId="123" fillId="33" borderId="32" xfId="0" applyFont="1" applyFill="1" applyBorder="1" applyAlignment="1">
      <alignment/>
    </xf>
    <xf numFmtId="0" fontId="0" fillId="33" borderId="32" xfId="0" applyFill="1" applyBorder="1" applyAlignment="1">
      <alignment/>
    </xf>
    <xf numFmtId="0" fontId="126" fillId="0" borderId="48" xfId="0" applyFont="1" applyBorder="1" applyAlignment="1">
      <alignment horizontal="center"/>
    </xf>
    <xf numFmtId="0" fontId="125" fillId="33" borderId="0" xfId="0" applyFont="1" applyFill="1" applyBorder="1" applyAlignment="1">
      <alignment horizontal="center"/>
    </xf>
    <xf numFmtId="0" fontId="121" fillId="0" borderId="49" xfId="0" applyFont="1" applyBorder="1" applyAlignment="1">
      <alignment horizontal="left"/>
    </xf>
    <xf numFmtId="0" fontId="125" fillId="33" borderId="49" xfId="0" applyFont="1" applyFill="1" applyBorder="1" applyAlignment="1">
      <alignment horizontal="center"/>
    </xf>
    <xf numFmtId="0" fontId="121" fillId="0" borderId="49" xfId="0" applyFont="1" applyBorder="1" applyAlignment="1">
      <alignment horizontal="left" wrapText="1"/>
    </xf>
    <xf numFmtId="0" fontId="125" fillId="33" borderId="49" xfId="0" applyFont="1" applyFill="1" applyBorder="1" applyAlignment="1">
      <alignment horizontal="center" wrapText="1"/>
    </xf>
    <xf numFmtId="0" fontId="121" fillId="0" borderId="50" xfId="0" applyFont="1" applyBorder="1" applyAlignment="1">
      <alignment horizontal="left"/>
    </xf>
    <xf numFmtId="180" fontId="122" fillId="0" borderId="48" xfId="42" applyNumberFormat="1" applyFont="1" applyFill="1" applyBorder="1" applyAlignment="1">
      <alignment horizontal="center" wrapText="1"/>
    </xf>
    <xf numFmtId="0" fontId="122" fillId="33" borderId="38" xfId="0" applyFont="1" applyFill="1" applyBorder="1" applyAlignment="1">
      <alignment horizontal="center"/>
    </xf>
    <xf numFmtId="0" fontId="126" fillId="0" borderId="28" xfId="0" applyFont="1" applyBorder="1" applyAlignment="1">
      <alignment horizontal="center" wrapText="1"/>
    </xf>
    <xf numFmtId="0" fontId="122" fillId="0" borderId="51" xfId="0" applyFont="1" applyBorder="1" applyAlignment="1">
      <alignment horizontal="right"/>
    </xf>
    <xf numFmtId="0" fontId="121" fillId="0" borderId="52" xfId="0" applyFont="1" applyBorder="1" applyAlignment="1">
      <alignment horizontal="right"/>
    </xf>
    <xf numFmtId="0" fontId="122" fillId="0" borderId="53" xfId="0" applyFont="1" applyBorder="1" applyAlignment="1">
      <alignment/>
    </xf>
    <xf numFmtId="0" fontId="121" fillId="0" borderId="51" xfId="0" applyFont="1" applyBorder="1" applyAlignment="1">
      <alignment horizontal="right"/>
    </xf>
    <xf numFmtId="0" fontId="122" fillId="0" borderId="53" xfId="0" applyFont="1" applyBorder="1" applyAlignment="1">
      <alignment horizontal="right"/>
    </xf>
    <xf numFmtId="0" fontId="121" fillId="0" borderId="51" xfId="0" applyFont="1" applyBorder="1" applyAlignment="1">
      <alignment horizontal="left"/>
    </xf>
    <xf numFmtId="0" fontId="125" fillId="33" borderId="53" xfId="0" applyFont="1" applyFill="1" applyBorder="1" applyAlignment="1">
      <alignment horizontal="center"/>
    </xf>
    <xf numFmtId="0" fontId="125" fillId="33" borderId="51" xfId="0" applyFont="1" applyFill="1" applyBorder="1" applyAlignment="1">
      <alignment horizontal="center"/>
    </xf>
    <xf numFmtId="0" fontId="121" fillId="0" borderId="53" xfId="0" applyFont="1" applyBorder="1" applyAlignment="1">
      <alignment horizontal="left"/>
    </xf>
    <xf numFmtId="0" fontId="125" fillId="33" borderId="53" xfId="0" applyFont="1" applyFill="1" applyBorder="1" applyAlignment="1">
      <alignment/>
    </xf>
    <xf numFmtId="0" fontId="125" fillId="33" borderId="51" xfId="0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122" fillId="0" borderId="51" xfId="0" applyFont="1" applyBorder="1" applyAlignment="1">
      <alignment horizontal="right" wrapText="1"/>
    </xf>
    <xf numFmtId="0" fontId="121" fillId="0" borderId="52" xfId="0" applyFont="1" applyBorder="1" applyAlignment="1">
      <alignment horizontal="right" wrapText="1"/>
    </xf>
    <xf numFmtId="0" fontId="122" fillId="0" borderId="53" xfId="0" applyFont="1" applyBorder="1" applyAlignment="1">
      <alignment horizontal="right" wrapText="1"/>
    </xf>
    <xf numFmtId="0" fontId="121" fillId="0" borderId="51" xfId="0" applyFont="1" applyBorder="1" applyAlignment="1">
      <alignment horizontal="right" wrapText="1"/>
    </xf>
    <xf numFmtId="0" fontId="122" fillId="0" borderId="53" xfId="0" applyFont="1" applyBorder="1" applyAlignment="1">
      <alignment wrapText="1"/>
    </xf>
    <xf numFmtId="0" fontId="125" fillId="33" borderId="53" xfId="0" applyFont="1" applyFill="1" applyBorder="1" applyAlignment="1">
      <alignment horizontal="center" wrapText="1"/>
    </xf>
    <xf numFmtId="0" fontId="125" fillId="33" borderId="51" xfId="0" applyFont="1" applyFill="1" applyBorder="1" applyAlignment="1">
      <alignment horizontal="center" wrapText="1"/>
    </xf>
    <xf numFmtId="0" fontId="121" fillId="0" borderId="53" xfId="0" applyFont="1" applyBorder="1" applyAlignment="1">
      <alignment horizontal="left" wrapText="1"/>
    </xf>
    <xf numFmtId="0" fontId="121" fillId="0" borderId="51" xfId="0" applyFont="1" applyBorder="1" applyAlignment="1">
      <alignment horizontal="left" wrapText="1"/>
    </xf>
    <xf numFmtId="0" fontId="125" fillId="33" borderId="53" xfId="0" applyFont="1" applyFill="1" applyBorder="1" applyAlignment="1">
      <alignment wrapText="1"/>
    </xf>
    <xf numFmtId="0" fontId="125" fillId="33" borderId="51" xfId="0" applyFont="1" applyFill="1" applyBorder="1" applyAlignment="1">
      <alignment horizontal="right" wrapText="1"/>
    </xf>
    <xf numFmtId="0" fontId="121" fillId="0" borderId="54" xfId="0" applyFont="1" applyBorder="1" applyAlignment="1">
      <alignment vertical="center" wrapText="1"/>
    </xf>
    <xf numFmtId="180" fontId="122" fillId="0" borderId="55" xfId="42" applyNumberFormat="1" applyFont="1" applyBorder="1" applyAlignment="1">
      <alignment horizontal="right"/>
    </xf>
    <xf numFmtId="180" fontId="121" fillId="0" borderId="55" xfId="42" applyNumberFormat="1" applyFont="1" applyBorder="1" applyAlignment="1">
      <alignment/>
    </xf>
    <xf numFmtId="0" fontId="122" fillId="0" borderId="56" xfId="0" applyFont="1" applyBorder="1" applyAlignment="1">
      <alignment horizontal="right" wrapText="1"/>
    </xf>
    <xf numFmtId="0" fontId="121" fillId="0" borderId="57" xfId="0" applyFont="1" applyBorder="1" applyAlignment="1">
      <alignment horizontal="right" wrapText="1"/>
    </xf>
    <xf numFmtId="0" fontId="122" fillId="0" borderId="56" xfId="0" applyFont="1" applyBorder="1" applyAlignment="1">
      <alignment/>
    </xf>
    <xf numFmtId="0" fontId="121" fillId="0" borderId="54" xfId="0" applyFont="1" applyBorder="1" applyAlignment="1">
      <alignment horizontal="right"/>
    </xf>
    <xf numFmtId="180" fontId="122" fillId="0" borderId="38" xfId="42" applyNumberFormat="1" applyFont="1" applyFill="1" applyBorder="1" applyAlignment="1">
      <alignment horizontal="right" wrapText="1"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130" fillId="0" borderId="28" xfId="0" applyFont="1" applyBorder="1" applyAlignment="1">
      <alignment horizontal="center"/>
    </xf>
    <xf numFmtId="0" fontId="130" fillId="0" borderId="48" xfId="0" applyFont="1" applyBorder="1" applyAlignment="1">
      <alignment horizontal="center"/>
    </xf>
    <xf numFmtId="0" fontId="130" fillId="33" borderId="58" xfId="0" applyFont="1" applyFill="1" applyBorder="1" applyAlignment="1">
      <alignment horizontal="center" wrapText="1"/>
    </xf>
    <xf numFmtId="0" fontId="131" fillId="0" borderId="15" xfId="0" applyFont="1" applyBorder="1" applyAlignment="1">
      <alignment horizontal="center" wrapText="1"/>
    </xf>
    <xf numFmtId="0" fontId="130" fillId="0" borderId="15" xfId="0" applyFont="1" applyBorder="1" applyAlignment="1">
      <alignment horizontal="center" wrapText="1"/>
    </xf>
    <xf numFmtId="0" fontId="130" fillId="33" borderId="13" xfId="0" applyFont="1" applyFill="1" applyBorder="1" applyAlignment="1">
      <alignment horizontal="center" wrapText="1"/>
    </xf>
    <xf numFmtId="0" fontId="123" fillId="0" borderId="59" xfId="0" applyFont="1" applyBorder="1" applyAlignment="1">
      <alignment horizontal="center"/>
    </xf>
    <xf numFmtId="0" fontId="132" fillId="33" borderId="60" xfId="0" applyFont="1" applyFill="1" applyBorder="1" applyAlignment="1">
      <alignment horizontal="center"/>
    </xf>
    <xf numFmtId="0" fontId="128" fillId="0" borderId="61" xfId="0" applyFont="1" applyBorder="1" applyAlignment="1">
      <alignment horizontal="center"/>
    </xf>
    <xf numFmtId="0" fontId="133" fillId="0" borderId="62" xfId="0" applyFont="1" applyBorder="1" applyAlignment="1">
      <alignment horizontal="center" wrapText="1"/>
    </xf>
    <xf numFmtId="0" fontId="133" fillId="0" borderId="59" xfId="0" applyFont="1" applyBorder="1" applyAlignment="1">
      <alignment horizontal="center" wrapText="1"/>
    </xf>
    <xf numFmtId="0" fontId="133" fillId="0" borderId="63" xfId="0" applyFont="1" applyBorder="1" applyAlignment="1">
      <alignment horizontal="center" wrapText="1"/>
    </xf>
    <xf numFmtId="0" fontId="133" fillId="0" borderId="17" xfId="0" applyFont="1" applyBorder="1" applyAlignment="1">
      <alignment horizontal="center" wrapText="1"/>
    </xf>
    <xf numFmtId="0" fontId="0" fillId="0" borderId="6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2" xfId="0" applyBorder="1" applyAlignment="1">
      <alignment horizontal="left" wrapText="1"/>
    </xf>
    <xf numFmtId="180" fontId="6" fillId="0" borderId="64" xfId="42" applyNumberFormat="1" applyFont="1" applyBorder="1" applyAlignment="1">
      <alignment/>
    </xf>
    <xf numFmtId="180" fontId="6" fillId="0" borderId="27" xfId="42" applyNumberFormat="1" applyFont="1" applyBorder="1" applyAlignment="1">
      <alignment/>
    </xf>
    <xf numFmtId="180" fontId="0" fillId="0" borderId="19" xfId="42" applyNumberFormat="1" applyFont="1" applyBorder="1" applyAlignment="1">
      <alignment horizontal="center" vertical="center"/>
    </xf>
    <xf numFmtId="180" fontId="0" fillId="0" borderId="19" xfId="42" applyNumberFormat="1" applyFont="1" applyBorder="1" applyAlignment="1">
      <alignment horizontal="right"/>
    </xf>
    <xf numFmtId="0" fontId="0" fillId="0" borderId="62" xfId="0" applyFont="1" applyBorder="1" applyAlignment="1">
      <alignment horizontal="left" wrapText="1"/>
    </xf>
    <xf numFmtId="180" fontId="0" fillId="0" borderId="65" xfId="42" applyNumberFormat="1" applyFont="1" applyBorder="1" applyAlignment="1">
      <alignment horizontal="right" vertical="center" wrapText="1"/>
    </xf>
    <xf numFmtId="180" fontId="0" fillId="0" borderId="19" xfId="42" applyNumberFormat="1" applyFont="1" applyBorder="1" applyAlignment="1">
      <alignment horizontal="right" vertical="center" wrapText="1"/>
    </xf>
    <xf numFmtId="180" fontId="0" fillId="0" borderId="63" xfId="42" applyNumberFormat="1" applyFont="1" applyBorder="1" applyAlignment="1">
      <alignment horizontal="right" vertical="center" wrapText="1"/>
    </xf>
    <xf numFmtId="180" fontId="0" fillId="0" borderId="17" xfId="42" applyNumberFormat="1" applyFont="1" applyBorder="1" applyAlignment="1">
      <alignment horizontal="right" vertical="center" wrapText="1"/>
    </xf>
    <xf numFmtId="180" fontId="0" fillId="0" borderId="17" xfId="42" applyNumberFormat="1" applyFont="1" applyBorder="1" applyAlignment="1">
      <alignment horizontal="center" vertical="center"/>
    </xf>
    <xf numFmtId="0" fontId="133" fillId="0" borderId="62" xfId="0" applyFont="1" applyBorder="1" applyAlignment="1">
      <alignment horizontal="center"/>
    </xf>
    <xf numFmtId="180" fontId="93" fillId="0" borderId="61" xfId="42" applyNumberFormat="1" applyFont="1" applyBorder="1" applyAlignment="1">
      <alignment horizontal="right"/>
    </xf>
    <xf numFmtId="180" fontId="93" fillId="0" borderId="30" xfId="42" applyNumberFormat="1" applyFont="1" applyBorder="1" applyAlignment="1">
      <alignment horizontal="right" vertical="center" wrapText="1"/>
    </xf>
    <xf numFmtId="180" fontId="0" fillId="0" borderId="19" xfId="0" applyNumberFormat="1" applyFont="1" applyBorder="1" applyAlignment="1">
      <alignment/>
    </xf>
    <xf numFmtId="180" fontId="134" fillId="0" borderId="61" xfId="42" applyNumberFormat="1" applyFont="1" applyBorder="1" applyAlignment="1">
      <alignment/>
    </xf>
    <xf numFmtId="180" fontId="93" fillId="0" borderId="30" xfId="42" applyNumberFormat="1" applyFont="1" applyBorder="1" applyAlignment="1">
      <alignment horizontal="right" wrapText="1"/>
    </xf>
    <xf numFmtId="180" fontId="0" fillId="0" borderId="19" xfId="42" applyNumberFormat="1" applyFont="1" applyBorder="1" applyAlignment="1">
      <alignment horizontal="right" wrapText="1"/>
    </xf>
    <xf numFmtId="180" fontId="135" fillId="0" borderId="30" xfId="42" applyNumberFormat="1" applyFont="1" applyBorder="1" applyAlignment="1">
      <alignment/>
    </xf>
    <xf numFmtId="0" fontId="133" fillId="0" borderId="66" xfId="0" applyFont="1" applyFill="1" applyBorder="1" applyAlignment="1">
      <alignment horizontal="center" wrapText="1"/>
    </xf>
    <xf numFmtId="180" fontId="135" fillId="0" borderId="31" xfId="42" applyNumberFormat="1" applyFont="1" applyBorder="1" applyAlignment="1">
      <alignment/>
    </xf>
    <xf numFmtId="180" fontId="93" fillId="0" borderId="31" xfId="42" applyNumberFormat="1" applyFont="1" applyFill="1" applyBorder="1" applyAlignment="1">
      <alignment horizontal="right" wrapText="1"/>
    </xf>
    <xf numFmtId="180" fontId="0" fillId="0" borderId="21" xfId="42" applyNumberFormat="1" applyFont="1" applyFill="1" applyBorder="1" applyAlignment="1">
      <alignment horizontal="right" wrapText="1"/>
    </xf>
    <xf numFmtId="180" fontId="0" fillId="0" borderId="21" xfId="42" applyNumberFormat="1" applyFont="1" applyBorder="1" applyAlignment="1">
      <alignment/>
    </xf>
    <xf numFmtId="180" fontId="93" fillId="0" borderId="21" xfId="42" applyNumberFormat="1" applyFont="1" applyBorder="1" applyAlignment="1">
      <alignment/>
    </xf>
    <xf numFmtId="0" fontId="134" fillId="36" borderId="67" xfId="0" applyFont="1" applyFill="1" applyBorder="1" applyAlignment="1">
      <alignment horizontal="center" wrapText="1"/>
    </xf>
    <xf numFmtId="180" fontId="93" fillId="36" borderId="58" xfId="42" applyNumberFormat="1" applyFont="1" applyFill="1" applyBorder="1" applyAlignment="1">
      <alignment/>
    </xf>
    <xf numFmtId="180" fontId="93" fillId="36" borderId="58" xfId="42" applyNumberFormat="1" applyFont="1" applyFill="1" applyBorder="1" applyAlignment="1">
      <alignment/>
    </xf>
    <xf numFmtId="180" fontId="93" fillId="37" borderId="13" xfId="42" applyNumberFormat="1" applyFont="1" applyFill="1" applyBorder="1" applyAlignment="1">
      <alignment/>
    </xf>
    <xf numFmtId="0" fontId="136" fillId="33" borderId="60" xfId="0" applyFont="1" applyFill="1" applyBorder="1" applyAlignment="1">
      <alignment horizontal="center"/>
    </xf>
    <xf numFmtId="0" fontId="136" fillId="33" borderId="59" xfId="0" applyFont="1" applyFill="1" applyBorder="1" applyAlignment="1">
      <alignment horizontal="center"/>
    </xf>
    <xf numFmtId="0" fontId="136" fillId="33" borderId="63" xfId="0" applyFont="1" applyFill="1" applyBorder="1" applyAlignment="1">
      <alignment horizontal="center"/>
    </xf>
    <xf numFmtId="0" fontId="136" fillId="33" borderId="17" xfId="0" applyFont="1" applyFill="1" applyBorder="1" applyAlignment="1">
      <alignment horizontal="center"/>
    </xf>
    <xf numFmtId="0" fontId="0" fillId="0" borderId="68" xfId="0" applyFont="1" applyBorder="1" applyAlignment="1">
      <alignment/>
    </xf>
    <xf numFmtId="0" fontId="93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133" fillId="0" borderId="62" xfId="0" applyFont="1" applyFill="1" applyBorder="1" applyAlignment="1">
      <alignment horizontal="center"/>
    </xf>
    <xf numFmtId="0" fontId="133" fillId="0" borderId="61" xfId="0" applyFont="1" applyFill="1" applyBorder="1" applyAlignment="1">
      <alignment horizontal="center"/>
    </xf>
    <xf numFmtId="0" fontId="133" fillId="0" borderId="30" xfId="0" applyFont="1" applyFill="1" applyBorder="1" applyAlignment="1">
      <alignment horizontal="center"/>
    </xf>
    <xf numFmtId="0" fontId="133" fillId="0" borderId="19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180" fontId="0" fillId="0" borderId="25" xfId="0" applyNumberFormat="1" applyFont="1" applyBorder="1" applyAlignment="1">
      <alignment/>
    </xf>
    <xf numFmtId="0" fontId="93" fillId="0" borderId="61" xfId="0" applyFont="1" applyBorder="1" applyAlignment="1">
      <alignment/>
    </xf>
    <xf numFmtId="180" fontId="0" fillId="0" borderId="71" xfId="0" applyNumberFormat="1" applyFont="1" applyBorder="1" applyAlignment="1">
      <alignment/>
    </xf>
    <xf numFmtId="0" fontId="0" fillId="0" borderId="62" xfId="0" applyFont="1" applyFill="1" applyBorder="1" applyAlignment="1">
      <alignment horizontal="left"/>
    </xf>
    <xf numFmtId="180" fontId="0" fillId="0" borderId="31" xfId="42" applyNumberFormat="1" applyFont="1" applyFill="1" applyBorder="1" applyAlignment="1">
      <alignment horizontal="center" vertical="center" wrapText="1"/>
    </xf>
    <xf numFmtId="180" fontId="0" fillId="0" borderId="19" xfId="42" applyNumberFormat="1" applyFont="1" applyFill="1" applyBorder="1" applyAlignment="1">
      <alignment horizontal="center" vertical="center" wrapText="1"/>
    </xf>
    <xf numFmtId="180" fontId="0" fillId="0" borderId="17" xfId="42" applyNumberFormat="1" applyFont="1" applyBorder="1" applyAlignment="1">
      <alignment/>
    </xf>
    <xf numFmtId="180" fontId="0" fillId="0" borderId="70" xfId="42" applyNumberFormat="1" applyFont="1" applyBorder="1" applyAlignment="1">
      <alignment/>
    </xf>
    <xf numFmtId="180" fontId="0" fillId="0" borderId="65" xfId="42" applyNumberFormat="1" applyFont="1" applyFill="1" applyBorder="1" applyAlignment="1">
      <alignment horizontal="center" vertical="center" wrapText="1"/>
    </xf>
    <xf numFmtId="180" fontId="0" fillId="0" borderId="19" xfId="42" applyNumberFormat="1" applyFont="1" applyBorder="1" applyAlignment="1">
      <alignment/>
    </xf>
    <xf numFmtId="180" fontId="0" fillId="0" borderId="71" xfId="42" applyNumberFormat="1" applyFont="1" applyBorder="1" applyAlignment="1">
      <alignment/>
    </xf>
    <xf numFmtId="0" fontId="0" fillId="0" borderId="62" xfId="0" applyFont="1" applyFill="1" applyBorder="1" applyAlignment="1">
      <alignment horizontal="left" wrapText="1"/>
    </xf>
    <xf numFmtId="180" fontId="0" fillId="0" borderId="63" xfId="42" applyNumberFormat="1" applyFont="1" applyFill="1" applyBorder="1" applyAlignment="1">
      <alignment horizontal="center" vertical="center" wrapText="1"/>
    </xf>
    <xf numFmtId="180" fontId="0" fillId="0" borderId="17" xfId="42" applyNumberFormat="1" applyFont="1" applyFill="1" applyBorder="1" applyAlignment="1">
      <alignment horizontal="center" vertical="center" wrapText="1"/>
    </xf>
    <xf numFmtId="0" fontId="133" fillId="0" borderId="62" xfId="0" applyFont="1" applyFill="1" applyBorder="1" applyAlignment="1">
      <alignment horizontal="center" wrapText="1"/>
    </xf>
    <xf numFmtId="180" fontId="93" fillId="0" borderId="61" xfId="42" applyNumberFormat="1" applyFont="1" applyFill="1" applyBorder="1" applyAlignment="1">
      <alignment horizontal="center" wrapText="1"/>
    </xf>
    <xf numFmtId="180" fontId="0" fillId="0" borderId="30" xfId="42" applyNumberFormat="1" applyFont="1" applyFill="1" applyBorder="1" applyAlignment="1">
      <alignment horizontal="center" wrapText="1"/>
    </xf>
    <xf numFmtId="180" fontId="93" fillId="0" borderId="30" xfId="42" applyNumberFormat="1" applyFont="1" applyFill="1" applyBorder="1" applyAlignment="1">
      <alignment horizontal="right" wrapText="1"/>
    </xf>
    <xf numFmtId="180" fontId="0" fillId="0" borderId="19" xfId="42" applyNumberFormat="1" applyFont="1" applyFill="1" applyBorder="1" applyAlignment="1">
      <alignment horizontal="right" wrapText="1"/>
    </xf>
    <xf numFmtId="180" fontId="0" fillId="0" borderId="25" xfId="42" applyNumberFormat="1" applyFont="1" applyBorder="1" applyAlignment="1">
      <alignment/>
    </xf>
    <xf numFmtId="180" fontId="93" fillId="0" borderId="59" xfId="42" applyNumberFormat="1" applyFont="1" applyBorder="1" applyAlignment="1">
      <alignment/>
    </xf>
    <xf numFmtId="0" fontId="137" fillId="0" borderId="30" xfId="0" applyFont="1" applyFill="1" applyBorder="1" applyAlignment="1">
      <alignment horizontal="center"/>
    </xf>
    <xf numFmtId="180" fontId="133" fillId="0" borderId="30" xfId="42" applyNumberFormat="1" applyFont="1" applyFill="1" applyBorder="1" applyAlignment="1">
      <alignment horizontal="right"/>
    </xf>
    <xf numFmtId="180" fontId="133" fillId="0" borderId="19" xfId="42" applyNumberFormat="1" applyFont="1" applyFill="1" applyBorder="1" applyAlignment="1">
      <alignment horizontal="right"/>
    </xf>
    <xf numFmtId="180" fontId="93" fillId="0" borderId="61" xfId="42" applyNumberFormat="1" applyFont="1" applyFill="1" applyBorder="1" applyAlignment="1">
      <alignment horizontal="left"/>
    </xf>
    <xf numFmtId="180" fontId="0" fillId="0" borderId="30" xfId="42" applyNumberFormat="1" applyFont="1" applyFill="1" applyBorder="1" applyAlignment="1">
      <alignment horizontal="left"/>
    </xf>
    <xf numFmtId="180" fontId="138" fillId="0" borderId="19" xfId="42" applyNumberFormat="1" applyFont="1" applyBorder="1" applyAlignment="1">
      <alignment/>
    </xf>
    <xf numFmtId="180" fontId="93" fillId="0" borderId="61" xfId="42" applyNumberFormat="1" applyFont="1" applyBorder="1" applyAlignment="1">
      <alignment/>
    </xf>
    <xf numFmtId="180" fontId="135" fillId="0" borderId="19" xfId="42" applyNumberFormat="1" applyFont="1" applyFill="1" applyBorder="1" applyAlignment="1">
      <alignment horizontal="right" wrapText="1"/>
    </xf>
    <xf numFmtId="0" fontId="133" fillId="0" borderId="61" xfId="0" applyFont="1" applyFill="1" applyBorder="1" applyAlignment="1">
      <alignment horizontal="center" wrapText="1"/>
    </xf>
    <xf numFmtId="0" fontId="137" fillId="0" borderId="30" xfId="0" applyFont="1" applyFill="1" applyBorder="1" applyAlignment="1">
      <alignment horizontal="center" wrapText="1"/>
    </xf>
    <xf numFmtId="180" fontId="133" fillId="0" borderId="30" xfId="42" applyNumberFormat="1" applyFont="1" applyFill="1" applyBorder="1" applyAlignment="1">
      <alignment horizontal="right" wrapText="1"/>
    </xf>
    <xf numFmtId="180" fontId="133" fillId="0" borderId="19" xfId="42" applyNumberFormat="1" applyFont="1" applyFill="1" applyBorder="1" applyAlignment="1">
      <alignment horizontal="right" wrapText="1"/>
    </xf>
    <xf numFmtId="0" fontId="0" fillId="0" borderId="25" xfId="0" applyFont="1" applyBorder="1" applyAlignment="1">
      <alignment/>
    </xf>
    <xf numFmtId="0" fontId="0" fillId="0" borderId="71" xfId="0" applyFont="1" applyBorder="1" applyAlignment="1">
      <alignment/>
    </xf>
    <xf numFmtId="0" fontId="135" fillId="0" borderId="62" xfId="0" applyFont="1" applyFill="1" applyBorder="1" applyAlignment="1">
      <alignment horizontal="left" wrapText="1"/>
    </xf>
    <xf numFmtId="180" fontId="93" fillId="0" borderId="18" xfId="42" applyNumberFormat="1" applyFont="1" applyBorder="1" applyAlignment="1">
      <alignment/>
    </xf>
    <xf numFmtId="0" fontId="139" fillId="0" borderId="62" xfId="0" applyFont="1" applyFill="1" applyBorder="1" applyAlignment="1">
      <alignment horizontal="left" wrapText="1"/>
    </xf>
    <xf numFmtId="180" fontId="0" fillId="0" borderId="27" xfId="42" applyNumberFormat="1" applyFont="1" applyBorder="1" applyAlignment="1">
      <alignment/>
    </xf>
    <xf numFmtId="180" fontId="134" fillId="0" borderId="61" xfId="42" applyNumberFormat="1" applyFont="1" applyFill="1" applyBorder="1" applyAlignment="1">
      <alignment horizontal="center"/>
    </xf>
    <xf numFmtId="180" fontId="135" fillId="0" borderId="30" xfId="42" applyNumberFormat="1" applyFont="1" applyFill="1" applyBorder="1" applyAlignment="1">
      <alignment horizontal="center"/>
    </xf>
    <xf numFmtId="0" fontId="128" fillId="0" borderId="72" xfId="0" applyFont="1" applyBorder="1" applyAlignment="1">
      <alignment horizontal="center"/>
    </xf>
    <xf numFmtId="180" fontId="134" fillId="0" borderId="72" xfId="42" applyNumberFormat="1" applyFont="1" applyFill="1" applyBorder="1" applyAlignment="1">
      <alignment horizontal="center" wrapText="1"/>
    </xf>
    <xf numFmtId="180" fontId="135" fillId="0" borderId="31" xfId="42" applyNumberFormat="1" applyFont="1" applyFill="1" applyBorder="1" applyAlignment="1">
      <alignment horizontal="center" wrapText="1"/>
    </xf>
    <xf numFmtId="180" fontId="0" fillId="0" borderId="73" xfId="42" applyNumberFormat="1" applyFont="1" applyBorder="1" applyAlignment="1">
      <alignment/>
    </xf>
    <xf numFmtId="180" fontId="93" fillId="0" borderId="72" xfId="42" applyNumberFormat="1" applyFont="1" applyBorder="1" applyAlignment="1">
      <alignment/>
    </xf>
    <xf numFmtId="180" fontId="0" fillId="0" borderId="74" xfId="42" applyNumberFormat="1" applyFont="1" applyBorder="1" applyAlignment="1">
      <alignment/>
    </xf>
    <xf numFmtId="0" fontId="128" fillId="36" borderId="13" xfId="0" applyFont="1" applyFill="1" applyBorder="1" applyAlignment="1">
      <alignment horizontal="center"/>
    </xf>
    <xf numFmtId="0" fontId="140" fillId="36" borderId="67" xfId="0" applyFont="1" applyFill="1" applyBorder="1" applyAlignment="1">
      <alignment horizontal="center" wrapText="1"/>
    </xf>
    <xf numFmtId="180" fontId="93" fillId="36" borderId="28" xfId="42" applyNumberFormat="1" applyFont="1" applyFill="1" applyBorder="1" applyAlignment="1">
      <alignment/>
    </xf>
    <xf numFmtId="180" fontId="93" fillId="36" borderId="75" xfId="42" applyNumberFormat="1" applyFont="1" applyFill="1" applyBorder="1" applyAlignment="1">
      <alignment/>
    </xf>
    <xf numFmtId="180" fontId="93" fillId="36" borderId="14" xfId="42" applyNumberFormat="1" applyFont="1" applyFill="1" applyBorder="1" applyAlignment="1">
      <alignment/>
    </xf>
    <xf numFmtId="180" fontId="93" fillId="37" borderId="14" xfId="42" applyNumberFormat="1" applyFont="1" applyFill="1" applyBorder="1" applyAlignment="1">
      <alignment/>
    </xf>
    <xf numFmtId="0" fontId="0" fillId="33" borderId="76" xfId="0" applyFont="1" applyFill="1" applyBorder="1" applyAlignment="1">
      <alignment horizontal="center"/>
    </xf>
    <xf numFmtId="0" fontId="93" fillId="33" borderId="77" xfId="0" applyFont="1" applyFill="1" applyBorder="1" applyAlignment="1">
      <alignment horizontal="center"/>
    </xf>
    <xf numFmtId="180" fontId="93" fillId="33" borderId="78" xfId="0" applyNumberFormat="1" applyFont="1" applyFill="1" applyBorder="1" applyAlignment="1">
      <alignment/>
    </xf>
    <xf numFmtId="180" fontId="93" fillId="33" borderId="79" xfId="0" applyNumberFormat="1" applyFont="1" applyFill="1" applyBorder="1" applyAlignment="1">
      <alignment/>
    </xf>
    <xf numFmtId="0" fontId="141" fillId="0" borderId="11" xfId="0" applyFont="1" applyBorder="1" applyAlignment="1">
      <alignment wrapText="1"/>
    </xf>
    <xf numFmtId="0" fontId="142" fillId="0" borderId="80" xfId="0" applyFont="1" applyBorder="1" applyAlignment="1">
      <alignment horizontal="center" vertical="center" wrapText="1" readingOrder="1"/>
    </xf>
    <xf numFmtId="0" fontId="142" fillId="0" borderId="81" xfId="0" applyFont="1" applyBorder="1" applyAlignment="1">
      <alignment horizontal="center" wrapText="1" readingOrder="1"/>
    </xf>
    <xf numFmtId="0" fontId="142" fillId="0" borderId="82" xfId="0" applyFont="1" applyBorder="1" applyAlignment="1">
      <alignment horizontal="center" wrapText="1" readingOrder="1"/>
    </xf>
    <xf numFmtId="0" fontId="142" fillId="0" borderId="83" xfId="0" applyFont="1" applyBorder="1" applyAlignment="1">
      <alignment horizontal="center" wrapText="1" readingOrder="1"/>
    </xf>
    <xf numFmtId="0" fontId="142" fillId="0" borderId="84" xfId="0" applyFont="1" applyBorder="1" applyAlignment="1">
      <alignment horizontal="center" wrapText="1" readingOrder="1"/>
    </xf>
    <xf numFmtId="0" fontId="142" fillId="0" borderId="85" xfId="0" applyFont="1" applyBorder="1" applyAlignment="1">
      <alignment vertical="center" wrapText="1" readingOrder="1"/>
    </xf>
    <xf numFmtId="0" fontId="142" fillId="0" borderId="13" xfId="0" applyFont="1" applyBorder="1" applyAlignment="1">
      <alignment horizontal="center" wrapText="1" readingOrder="1"/>
    </xf>
    <xf numFmtId="0" fontId="142" fillId="0" borderId="15" xfId="0" applyFont="1" applyBorder="1" applyAlignment="1">
      <alignment horizontal="center" wrapText="1" readingOrder="1"/>
    </xf>
    <xf numFmtId="0" fontId="142" fillId="0" borderId="22" xfId="0" applyFont="1" applyBorder="1" applyAlignment="1">
      <alignment horizontal="center" wrapText="1" readingOrder="1"/>
    </xf>
    <xf numFmtId="0" fontId="142" fillId="0" borderId="24" xfId="0" applyFont="1" applyBorder="1" applyAlignment="1">
      <alignment horizontal="center" wrapText="1" readingOrder="1"/>
    </xf>
    <xf numFmtId="0" fontId="143" fillId="0" borderId="69" xfId="0" applyFont="1" applyBorder="1" applyAlignment="1">
      <alignment wrapText="1" readingOrder="1"/>
    </xf>
    <xf numFmtId="0" fontId="144" fillId="33" borderId="80" xfId="0" applyFont="1" applyFill="1" applyBorder="1" applyAlignment="1">
      <alignment wrapText="1" readingOrder="1"/>
    </xf>
    <xf numFmtId="0" fontId="143" fillId="0" borderId="61" xfId="0" applyFont="1" applyBorder="1" applyAlignment="1">
      <alignment horizontal="center" wrapText="1" readingOrder="1"/>
    </xf>
    <xf numFmtId="0" fontId="143" fillId="0" borderId="62" xfId="0" applyFont="1" applyBorder="1" applyAlignment="1">
      <alignment horizontal="left" wrapText="1" readingOrder="1"/>
    </xf>
    <xf numFmtId="2" fontId="143" fillId="0" borderId="19" xfId="0" applyNumberFormat="1" applyFont="1" applyBorder="1" applyAlignment="1">
      <alignment horizontal="right" wrapText="1" readingOrder="1"/>
    </xf>
    <xf numFmtId="2" fontId="144" fillId="0" borderId="51" xfId="0" applyNumberFormat="1" applyFont="1" applyBorder="1" applyAlignment="1">
      <alignment horizontal="right"/>
    </xf>
    <xf numFmtId="2" fontId="143" fillId="0" borderId="52" xfId="0" applyNumberFormat="1" applyFont="1" applyBorder="1" applyAlignment="1">
      <alignment horizontal="right"/>
    </xf>
    <xf numFmtId="2" fontId="144" fillId="0" borderId="52" xfId="0" applyNumberFormat="1" applyFont="1" applyBorder="1" applyAlignment="1">
      <alignment horizontal="right"/>
    </xf>
    <xf numFmtId="0" fontId="143" fillId="0" borderId="61" xfId="0" applyFont="1" applyBorder="1" applyAlignment="1">
      <alignment wrapText="1" readingOrder="1"/>
    </xf>
    <xf numFmtId="0" fontId="144" fillId="33" borderId="62" xfId="0" applyFont="1" applyFill="1" applyBorder="1" applyAlignment="1">
      <alignment wrapText="1" readingOrder="1"/>
    </xf>
    <xf numFmtId="2" fontId="145" fillId="33" borderId="53" xfId="0" applyNumberFormat="1" applyFont="1" applyFill="1" applyBorder="1" applyAlignment="1">
      <alignment horizontal="center"/>
    </xf>
    <xf numFmtId="0" fontId="143" fillId="0" borderId="19" xfId="0" applyFont="1" applyBorder="1" applyAlignment="1">
      <alignment wrapText="1" readingOrder="1"/>
    </xf>
    <xf numFmtId="0" fontId="143" fillId="0" borderId="62" xfId="0" applyFont="1" applyBorder="1" applyAlignment="1">
      <alignment wrapText="1" readingOrder="1"/>
    </xf>
    <xf numFmtId="2" fontId="144" fillId="0" borderId="51" xfId="0" applyNumberFormat="1" applyFont="1" applyBorder="1" applyAlignment="1">
      <alignment horizontal="right" wrapText="1"/>
    </xf>
    <xf numFmtId="2" fontId="143" fillId="0" borderId="52" xfId="0" applyNumberFormat="1" applyFont="1" applyBorder="1" applyAlignment="1">
      <alignment horizontal="right" wrapText="1"/>
    </xf>
    <xf numFmtId="0" fontId="145" fillId="0" borderId="66" xfId="0" applyFont="1" applyBorder="1" applyAlignment="1">
      <alignment wrapText="1" readingOrder="1"/>
    </xf>
    <xf numFmtId="0" fontId="145" fillId="33" borderId="72" xfId="0" applyFont="1" applyFill="1" applyBorder="1" applyAlignment="1">
      <alignment wrapText="1" readingOrder="1"/>
    </xf>
    <xf numFmtId="2" fontId="143" fillId="33" borderId="20" xfId="0" applyNumberFormat="1" applyFont="1" applyFill="1" applyBorder="1" applyAlignment="1">
      <alignment wrapText="1" readingOrder="1"/>
    </xf>
    <xf numFmtId="2" fontId="143" fillId="0" borderId="21" xfId="0" applyNumberFormat="1" applyFont="1" applyBorder="1" applyAlignment="1">
      <alignment wrapText="1" readingOrder="1"/>
    </xf>
    <xf numFmtId="2" fontId="143" fillId="0" borderId="21" xfId="0" applyNumberFormat="1" applyFont="1" applyBorder="1" applyAlignment="1">
      <alignment vertical="center" wrapText="1" readingOrder="1"/>
    </xf>
    <xf numFmtId="0" fontId="143" fillId="0" borderId="62" xfId="0" applyFont="1" applyBorder="1" applyAlignment="1">
      <alignment horizontal="left" wrapText="1"/>
    </xf>
    <xf numFmtId="0" fontId="143" fillId="0" borderId="66" xfId="0" applyFont="1" applyBorder="1" applyAlignment="1">
      <alignment horizontal="left" wrapText="1"/>
    </xf>
    <xf numFmtId="0" fontId="142" fillId="0" borderId="28" xfId="0" applyFont="1" applyBorder="1" applyAlignment="1">
      <alignment horizontal="left" wrapText="1" readingOrder="1"/>
    </xf>
    <xf numFmtId="0" fontId="142" fillId="0" borderId="48" xfId="0" applyFont="1" applyBorder="1" applyAlignment="1">
      <alignment horizontal="center" wrapText="1" readingOrder="1"/>
    </xf>
    <xf numFmtId="2" fontId="144" fillId="0" borderId="38" xfId="42" applyNumberFormat="1" applyFont="1" applyFill="1" applyBorder="1" applyAlignment="1">
      <alignment horizontal="right" wrapText="1"/>
    </xf>
    <xf numFmtId="2" fontId="142" fillId="0" borderId="13" xfId="0" applyNumberFormat="1" applyFont="1" applyBorder="1" applyAlignment="1">
      <alignment horizontal="right" wrapText="1" readingOrder="1"/>
    </xf>
    <xf numFmtId="2" fontId="144" fillId="0" borderId="52" xfId="0" applyNumberFormat="1" applyFont="1" applyBorder="1" applyAlignment="1">
      <alignment horizontal="right" wrapText="1"/>
    </xf>
    <xf numFmtId="2" fontId="144" fillId="0" borderId="18" xfId="0" applyNumberFormat="1" applyFont="1" applyBorder="1" applyAlignment="1">
      <alignment horizontal="right" wrapText="1" readingOrder="1"/>
    </xf>
    <xf numFmtId="0" fontId="144" fillId="0" borderId="18" xfId="0" applyFont="1" applyBorder="1" applyAlignment="1">
      <alignment wrapText="1" readingOrder="1"/>
    </xf>
    <xf numFmtId="2" fontId="144" fillId="0" borderId="20" xfId="0" applyNumberFormat="1" applyFont="1" applyBorder="1" applyAlignment="1">
      <alignment wrapText="1" readingOrder="1"/>
    </xf>
    <xf numFmtId="2" fontId="144" fillId="0" borderId="20" xfId="0" applyNumberFormat="1" applyFont="1" applyBorder="1" applyAlignment="1">
      <alignment vertical="center" wrapText="1" readingOrder="1"/>
    </xf>
    <xf numFmtId="171" fontId="144" fillId="0" borderId="86" xfId="42" applyNumberFormat="1" applyFont="1" applyBorder="1" applyAlignment="1">
      <alignment vertical="center"/>
    </xf>
    <xf numFmtId="171" fontId="144" fillId="0" borderId="57" xfId="42" applyNumberFormat="1" applyFont="1" applyBorder="1" applyAlignment="1">
      <alignment vertical="center"/>
    </xf>
    <xf numFmtId="171" fontId="144" fillId="0" borderId="59" xfId="42" applyNumberFormat="1" applyFont="1" applyBorder="1" applyAlignment="1">
      <alignment vertical="center"/>
    </xf>
    <xf numFmtId="0" fontId="100" fillId="0" borderId="0" xfId="0" applyFont="1" applyAlignment="1">
      <alignment horizontal="center"/>
    </xf>
    <xf numFmtId="0" fontId="100" fillId="0" borderId="27" xfId="0" applyFont="1" applyBorder="1" applyAlignment="1">
      <alignment horizontal="justify"/>
    </xf>
    <xf numFmtId="0" fontId="100" fillId="0" borderId="11" xfId="0" applyFont="1" applyBorder="1" applyAlignment="1">
      <alignment horizontal="justify"/>
    </xf>
    <xf numFmtId="0" fontId="146" fillId="0" borderId="0" xfId="0" applyFont="1" applyAlignment="1">
      <alignment horizontal="center"/>
    </xf>
    <xf numFmtId="0" fontId="147" fillId="0" borderId="0" xfId="0" applyFont="1" applyAlignment="1">
      <alignment horizontal="center"/>
    </xf>
    <xf numFmtId="0" fontId="107" fillId="0" borderId="81" xfId="0" applyFont="1" applyBorder="1" applyAlignment="1">
      <alignment horizontal="justify"/>
    </xf>
    <xf numFmtId="0" fontId="107" fillId="0" borderId="87" xfId="0" applyFont="1" applyBorder="1" applyAlignment="1">
      <alignment horizontal="justify"/>
    </xf>
    <xf numFmtId="0" fontId="107" fillId="0" borderId="82" xfId="0" applyFont="1" applyBorder="1" applyAlignment="1">
      <alignment horizontal="justify"/>
    </xf>
    <xf numFmtId="0" fontId="107" fillId="0" borderId="27" xfId="0" applyFont="1" applyBorder="1" applyAlignment="1">
      <alignment horizontal="justify"/>
    </xf>
    <xf numFmtId="0" fontId="148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49" fillId="0" borderId="0" xfId="0" applyFont="1" applyAlignment="1">
      <alignment horizontal="center"/>
    </xf>
    <xf numFmtId="0" fontId="150" fillId="0" borderId="0" xfId="0" applyFont="1" applyAlignment="1">
      <alignment horizontal="center"/>
    </xf>
    <xf numFmtId="0" fontId="118" fillId="33" borderId="0" xfId="0" applyFont="1" applyFill="1" applyBorder="1" applyAlignment="1">
      <alignment/>
    </xf>
    <xf numFmtId="0" fontId="118" fillId="33" borderId="88" xfId="0" applyFont="1" applyFill="1" applyBorder="1" applyAlignment="1">
      <alignment/>
    </xf>
    <xf numFmtId="0" fontId="118" fillId="33" borderId="27" xfId="0" applyFont="1" applyFill="1" applyBorder="1" applyAlignment="1">
      <alignment/>
    </xf>
    <xf numFmtId="0" fontId="118" fillId="33" borderId="16" xfId="0" applyFont="1" applyFill="1" applyBorder="1" applyAlignment="1">
      <alignment/>
    </xf>
    <xf numFmtId="0" fontId="118" fillId="33" borderId="12" xfId="0" applyFont="1" applyFill="1" applyBorder="1" applyAlignment="1">
      <alignment/>
    </xf>
    <xf numFmtId="0" fontId="116" fillId="0" borderId="0" xfId="0" applyFont="1" applyAlignment="1">
      <alignment horizontal="center"/>
    </xf>
    <xf numFmtId="180" fontId="93" fillId="0" borderId="20" xfId="42" applyNumberFormat="1" applyFont="1" applyBorder="1" applyAlignment="1">
      <alignment horizontal="center"/>
    </xf>
    <xf numFmtId="180" fontId="93" fillId="0" borderId="16" xfId="42" applyNumberFormat="1" applyFont="1" applyBorder="1" applyAlignment="1">
      <alignment horizontal="center"/>
    </xf>
    <xf numFmtId="180" fontId="0" fillId="0" borderId="21" xfId="42" applyNumberFormat="1" applyFont="1" applyBorder="1" applyAlignment="1">
      <alignment vertical="center"/>
    </xf>
    <xf numFmtId="180" fontId="0" fillId="0" borderId="17" xfId="42" applyNumberFormat="1" applyFont="1" applyBorder="1" applyAlignment="1">
      <alignment vertical="center"/>
    </xf>
    <xf numFmtId="180" fontId="93" fillId="0" borderId="20" xfId="42" applyNumberFormat="1" applyFont="1" applyBorder="1" applyAlignment="1">
      <alignment horizontal="right" vertical="center"/>
    </xf>
    <xf numFmtId="180" fontId="93" fillId="0" borderId="88" xfId="42" applyNumberFormat="1" applyFont="1" applyBorder="1" applyAlignment="1">
      <alignment horizontal="right" vertical="center"/>
    </xf>
    <xf numFmtId="180" fontId="93" fillId="0" borderId="16" xfId="42" applyNumberFormat="1" applyFont="1" applyBorder="1" applyAlignment="1">
      <alignment horizontal="right" vertical="center"/>
    </xf>
    <xf numFmtId="180" fontId="0" fillId="0" borderId="72" xfId="42" applyNumberFormat="1" applyFont="1" applyBorder="1" applyAlignment="1">
      <alignment horizontal="center"/>
    </xf>
    <xf numFmtId="180" fontId="0" fillId="0" borderId="59" xfId="42" applyNumberFormat="1" applyFont="1" applyBorder="1" applyAlignment="1">
      <alignment horizontal="center"/>
    </xf>
    <xf numFmtId="180" fontId="93" fillId="0" borderId="31" xfId="42" applyNumberFormat="1" applyFont="1" applyFill="1" applyBorder="1" applyAlignment="1">
      <alignment horizontal="center" vertical="center" wrapText="1"/>
    </xf>
    <xf numFmtId="180" fontId="93" fillId="0" borderId="65" xfId="42" applyNumberFormat="1" applyFont="1" applyFill="1" applyBorder="1" applyAlignment="1">
      <alignment horizontal="center" vertical="center" wrapText="1"/>
    </xf>
    <xf numFmtId="180" fontId="93" fillId="0" borderId="63" xfId="42" applyNumberFormat="1" applyFont="1" applyFill="1" applyBorder="1" applyAlignment="1">
      <alignment horizontal="center" vertical="center" wrapText="1"/>
    </xf>
    <xf numFmtId="180" fontId="93" fillId="0" borderId="31" xfId="42" applyNumberFormat="1" applyFont="1" applyBorder="1" applyAlignment="1">
      <alignment horizontal="center" vertical="center"/>
    </xf>
    <xf numFmtId="180" fontId="93" fillId="0" borderId="65" xfId="42" applyNumberFormat="1" applyFont="1" applyBorder="1" applyAlignment="1">
      <alignment horizontal="center" vertical="center"/>
    </xf>
    <xf numFmtId="180" fontId="93" fillId="0" borderId="63" xfId="42" applyNumberFormat="1" applyFont="1" applyBorder="1" applyAlignment="1">
      <alignment horizontal="center" vertical="center"/>
    </xf>
    <xf numFmtId="180" fontId="93" fillId="0" borderId="72" xfId="42" applyNumberFormat="1" applyFont="1" applyBorder="1" applyAlignment="1">
      <alignment horizontal="center" vertical="center"/>
    </xf>
    <xf numFmtId="180" fontId="93" fillId="0" borderId="57" xfId="42" applyNumberFormat="1" applyFont="1" applyBorder="1" applyAlignment="1">
      <alignment horizontal="center" vertical="center"/>
    </xf>
    <xf numFmtId="180" fontId="93" fillId="0" borderId="59" xfId="42" applyNumberFormat="1" applyFont="1" applyBorder="1" applyAlignment="1">
      <alignment horizontal="center" vertical="center"/>
    </xf>
    <xf numFmtId="180" fontId="93" fillId="0" borderId="20" xfId="42" applyNumberFormat="1" applyFont="1" applyBorder="1" applyAlignment="1">
      <alignment horizontal="center" vertical="center"/>
    </xf>
    <xf numFmtId="180" fontId="93" fillId="0" borderId="88" xfId="42" applyNumberFormat="1" applyFont="1" applyBorder="1" applyAlignment="1">
      <alignment horizontal="center" vertical="center"/>
    </xf>
    <xf numFmtId="180" fontId="93" fillId="0" borderId="16" xfId="42" applyNumberFormat="1" applyFont="1" applyBorder="1" applyAlignment="1">
      <alignment horizontal="center" vertical="center"/>
    </xf>
    <xf numFmtId="180" fontId="93" fillId="0" borderId="31" xfId="42" applyNumberFormat="1" applyFont="1" applyBorder="1" applyAlignment="1">
      <alignment horizontal="right" vertical="center" wrapText="1"/>
    </xf>
    <xf numFmtId="180" fontId="93" fillId="0" borderId="65" xfId="42" applyNumberFormat="1" applyFont="1" applyBorder="1" applyAlignment="1">
      <alignment horizontal="right" vertical="center" wrapText="1"/>
    </xf>
    <xf numFmtId="180" fontId="93" fillId="0" borderId="63" xfId="42" applyNumberFormat="1" applyFont="1" applyBorder="1" applyAlignment="1">
      <alignment horizontal="right" vertical="center" wrapText="1"/>
    </xf>
    <xf numFmtId="0" fontId="151" fillId="33" borderId="0" xfId="0" applyFont="1" applyFill="1" applyBorder="1" applyAlignment="1">
      <alignment horizontal="center"/>
    </xf>
    <xf numFmtId="0" fontId="152" fillId="33" borderId="0" xfId="0" applyFont="1" applyFill="1" applyBorder="1" applyAlignment="1">
      <alignment horizontal="center"/>
    </xf>
    <xf numFmtId="0" fontId="132" fillId="33" borderId="58" xfId="0" applyFont="1" applyFill="1" applyBorder="1" applyAlignment="1">
      <alignment horizontal="center"/>
    </xf>
    <xf numFmtId="0" fontId="132" fillId="33" borderId="89" xfId="0" applyFont="1" applyFill="1" applyBorder="1" applyAlignment="1">
      <alignment horizontal="center"/>
    </xf>
    <xf numFmtId="0" fontId="132" fillId="36" borderId="58" xfId="0" applyFont="1" applyFill="1" applyBorder="1" applyAlignment="1">
      <alignment horizontal="center"/>
    </xf>
    <xf numFmtId="0" fontId="132" fillId="36" borderId="89" xfId="0" applyFont="1" applyFill="1" applyBorder="1" applyAlignment="1">
      <alignment horizontal="center"/>
    </xf>
    <xf numFmtId="0" fontId="93" fillId="36" borderId="58" xfId="0" applyFont="1" applyFill="1" applyBorder="1" applyAlignment="1">
      <alignment horizontal="center"/>
    </xf>
    <xf numFmtId="0" fontId="93" fillId="36" borderId="89" xfId="0" applyFont="1" applyFill="1" applyBorder="1" applyAlignment="1">
      <alignment horizontal="center"/>
    </xf>
    <xf numFmtId="0" fontId="93" fillId="36" borderId="79" xfId="0" applyFont="1" applyFill="1" applyBorder="1" applyAlignment="1">
      <alignment horizontal="center"/>
    </xf>
    <xf numFmtId="0" fontId="93" fillId="36" borderId="90" xfId="0" applyFont="1" applyFill="1" applyBorder="1" applyAlignment="1">
      <alignment horizontal="center"/>
    </xf>
    <xf numFmtId="0" fontId="93" fillId="0" borderId="79" xfId="0" applyFont="1" applyBorder="1" applyAlignment="1">
      <alignment horizontal="center"/>
    </xf>
    <xf numFmtId="0" fontId="93" fillId="0" borderId="90" xfId="0" applyFont="1" applyBorder="1" applyAlignment="1">
      <alignment horizontal="center"/>
    </xf>
    <xf numFmtId="0" fontId="122" fillId="0" borderId="54" xfId="0" applyFont="1" applyBorder="1" applyAlignment="1">
      <alignment horizontal="right" wrapText="1"/>
    </xf>
    <xf numFmtId="0" fontId="122" fillId="0" borderId="59" xfId="0" applyFont="1" applyBorder="1" applyAlignment="1">
      <alignment horizontal="right" wrapText="1"/>
    </xf>
    <xf numFmtId="0" fontId="121" fillId="0" borderId="54" xfId="0" applyFont="1" applyBorder="1" applyAlignment="1">
      <alignment horizontal="right" vertical="center" wrapText="1"/>
    </xf>
    <xf numFmtId="0" fontId="121" fillId="0" borderId="59" xfId="0" applyFont="1" applyBorder="1" applyAlignment="1">
      <alignment horizontal="right" vertical="center" wrapText="1"/>
    </xf>
    <xf numFmtId="0" fontId="122" fillId="0" borderId="91" xfId="0" applyFont="1" applyBorder="1" applyAlignment="1">
      <alignment horizontal="right" vertical="center"/>
    </xf>
    <xf numFmtId="0" fontId="122" fillId="0" borderId="86" xfId="0" applyFont="1" applyBorder="1" applyAlignment="1">
      <alignment horizontal="right" vertical="center"/>
    </xf>
    <xf numFmtId="0" fontId="121" fillId="0" borderId="91" xfId="0" applyFont="1" applyBorder="1" applyAlignment="1">
      <alignment horizontal="right" vertical="center"/>
    </xf>
    <xf numFmtId="0" fontId="121" fillId="0" borderId="86" xfId="0" applyFont="1" applyBorder="1" applyAlignment="1">
      <alignment horizontal="right" vertical="center"/>
    </xf>
    <xf numFmtId="0" fontId="120" fillId="36" borderId="0" xfId="0" applyFont="1" applyFill="1" applyBorder="1" applyAlignment="1">
      <alignment horizontal="center"/>
    </xf>
    <xf numFmtId="0" fontId="125" fillId="33" borderId="58" xfId="0" applyFont="1" applyFill="1" applyBorder="1" applyAlignment="1">
      <alignment horizontal="center"/>
    </xf>
    <xf numFmtId="0" fontId="125" fillId="33" borderId="89" xfId="0" applyFont="1" applyFill="1" applyBorder="1" applyAlignment="1">
      <alignment horizontal="center"/>
    </xf>
    <xf numFmtId="0" fontId="119" fillId="33" borderId="65" xfId="0" applyFont="1" applyFill="1" applyBorder="1" applyAlignment="1">
      <alignment horizontal="center"/>
    </xf>
    <xf numFmtId="0" fontId="119" fillId="33" borderId="0" xfId="0" applyFont="1" applyFill="1" applyBorder="1" applyAlignment="1">
      <alignment horizontal="center"/>
    </xf>
    <xf numFmtId="0" fontId="102" fillId="33" borderId="0" xfId="0" applyFont="1" applyFill="1" applyBorder="1" applyAlignment="1">
      <alignment horizontal="center"/>
    </xf>
    <xf numFmtId="0" fontId="141" fillId="33" borderId="11" xfId="0" applyFont="1" applyFill="1" applyBorder="1" applyAlignment="1">
      <alignment horizontal="center" wrapText="1" readingOrder="1"/>
    </xf>
    <xf numFmtId="2" fontId="144" fillId="0" borderId="20" xfId="0" applyNumberFormat="1" applyFont="1" applyBorder="1" applyAlignment="1">
      <alignment horizontal="right" vertical="center"/>
    </xf>
    <xf numFmtId="2" fontId="144" fillId="0" borderId="88" xfId="0" applyNumberFormat="1" applyFont="1" applyBorder="1" applyAlignment="1">
      <alignment horizontal="right" vertical="center"/>
    </xf>
    <xf numFmtId="2" fontId="144" fillId="0" borderId="79" xfId="0" applyNumberFormat="1" applyFont="1" applyBorder="1" applyAlignment="1">
      <alignment horizontal="right" vertical="center"/>
    </xf>
    <xf numFmtId="0" fontId="143" fillId="0" borderId="21" xfId="0" applyFont="1" applyBorder="1" applyAlignment="1">
      <alignment horizontal="right" vertical="center"/>
    </xf>
    <xf numFmtId="0" fontId="143" fillId="0" borderId="29" xfId="0" applyFont="1" applyBorder="1" applyAlignment="1">
      <alignment horizontal="right" vertical="center"/>
    </xf>
    <xf numFmtId="0" fontId="143" fillId="0" borderId="90" xfId="0" applyFont="1" applyBorder="1" applyAlignment="1">
      <alignment horizontal="right" vertical="center"/>
    </xf>
    <xf numFmtId="0" fontId="144" fillId="0" borderId="72" xfId="0" applyFont="1" applyBorder="1" applyAlignment="1">
      <alignment horizontal="right" vertical="center" wrapText="1"/>
    </xf>
    <xf numFmtId="0" fontId="144" fillId="0" borderId="57" xfId="0" applyFont="1" applyBorder="1" applyAlignment="1">
      <alignment horizontal="right" vertical="center" wrapText="1"/>
    </xf>
    <xf numFmtId="0" fontId="144" fillId="0" borderId="76" xfId="0" applyFont="1" applyBorder="1" applyAlignment="1">
      <alignment horizontal="right" vertical="center" wrapText="1"/>
    </xf>
    <xf numFmtId="0" fontId="142" fillId="0" borderId="69" xfId="0" applyFont="1" applyBorder="1" applyAlignment="1">
      <alignment horizontal="left" vertical="center" wrapText="1" readingOrder="1"/>
    </xf>
    <xf numFmtId="0" fontId="142" fillId="0" borderId="92" xfId="0" applyFont="1" applyBorder="1" applyAlignment="1">
      <alignment horizontal="left" vertical="center" wrapText="1" readingOrder="1"/>
    </xf>
    <xf numFmtId="0" fontId="144" fillId="33" borderId="13" xfId="0" applyFont="1" applyFill="1" applyBorder="1" applyAlignment="1">
      <alignment horizontal="center" wrapText="1" readingOrder="1"/>
    </xf>
    <xf numFmtId="0" fontId="144" fillId="33" borderId="15" xfId="0" applyFont="1" applyFill="1" applyBorder="1" applyAlignment="1">
      <alignment horizontal="center" wrapText="1" readingOrder="1"/>
    </xf>
    <xf numFmtId="0" fontId="143" fillId="0" borderId="61" xfId="0" applyFont="1" applyBorder="1" applyAlignment="1">
      <alignment horizontal="center" vertical="center" wrapText="1" readingOrder="1"/>
    </xf>
    <xf numFmtId="0" fontId="143" fillId="0" borderId="72" xfId="0" applyFont="1" applyBorder="1" applyAlignment="1">
      <alignment horizontal="center" vertical="center" wrapText="1" readingOrder="1"/>
    </xf>
    <xf numFmtId="2" fontId="143" fillId="0" borderId="21" xfId="0" applyNumberFormat="1" applyFont="1" applyBorder="1" applyAlignment="1">
      <alignment horizontal="right" vertical="center"/>
    </xf>
    <xf numFmtId="2" fontId="143" fillId="0" borderId="29" xfId="0" applyNumberFormat="1" applyFont="1" applyBorder="1" applyAlignment="1">
      <alignment horizontal="right" vertical="center"/>
    </xf>
    <xf numFmtId="2" fontId="143" fillId="0" borderId="90" xfId="0" applyNumberFormat="1" applyFont="1" applyBorder="1" applyAlignment="1">
      <alignment horizontal="right" vertical="center"/>
    </xf>
    <xf numFmtId="2" fontId="143" fillId="0" borderId="31" xfId="0" applyNumberFormat="1" applyFont="1" applyBorder="1" applyAlignment="1">
      <alignment horizontal="right" vertical="center"/>
    </xf>
    <xf numFmtId="2" fontId="143" fillId="0" borderId="65" xfId="0" applyNumberFormat="1" applyFont="1" applyBorder="1" applyAlignment="1">
      <alignment horizontal="right" vertical="center"/>
    </xf>
    <xf numFmtId="2" fontId="143" fillId="0" borderId="78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40.8515625" style="0" customWidth="1"/>
    <col min="3" max="3" width="16.8515625" style="0" customWidth="1"/>
    <col min="4" max="4" width="15.421875" style="0" customWidth="1"/>
    <col min="5" max="5" width="19.57421875" style="0" customWidth="1"/>
  </cols>
  <sheetData>
    <row r="1" spans="1:5" ht="15.75">
      <c r="A1" s="408" t="s">
        <v>0</v>
      </c>
      <c r="B1" s="408"/>
      <c r="C1" s="408"/>
      <c r="D1" s="408"/>
      <c r="E1" s="5"/>
    </row>
    <row r="2" spans="1:5" ht="15.75">
      <c r="A2" s="408" t="s">
        <v>38</v>
      </c>
      <c r="B2" s="408"/>
      <c r="C2" s="408"/>
      <c r="D2" s="408"/>
      <c r="E2" s="408"/>
    </row>
    <row r="3" spans="1:5" ht="15.75">
      <c r="A3" s="408" t="s">
        <v>1</v>
      </c>
      <c r="B3" s="408"/>
      <c r="C3" s="408"/>
      <c r="D3" s="408"/>
      <c r="E3" s="408"/>
    </row>
    <row r="4" spans="1:5" ht="16.5" thickBot="1">
      <c r="A4" s="410" t="s">
        <v>2</v>
      </c>
      <c r="B4" s="410"/>
      <c r="C4" s="410"/>
      <c r="D4" s="17"/>
      <c r="E4" s="5"/>
    </row>
    <row r="5" spans="1:5" ht="32.25" thickBot="1">
      <c r="A5" s="25" t="s">
        <v>3</v>
      </c>
      <c r="B5" s="26" t="s">
        <v>4</v>
      </c>
      <c r="C5" s="27" t="s">
        <v>36</v>
      </c>
      <c r="D5" s="34" t="s">
        <v>37</v>
      </c>
      <c r="E5" s="35" t="s">
        <v>6</v>
      </c>
    </row>
    <row r="6" spans="1:5" ht="15.75">
      <c r="A6" s="22">
        <v>1</v>
      </c>
      <c r="B6" s="23" t="s">
        <v>35</v>
      </c>
      <c r="C6" s="24" t="s">
        <v>7</v>
      </c>
      <c r="D6" s="18"/>
      <c r="E6" s="18"/>
    </row>
    <row r="7" spans="1:5" ht="18.75">
      <c r="A7" s="7">
        <v>2</v>
      </c>
      <c r="B7" s="8" t="s">
        <v>39</v>
      </c>
      <c r="C7" s="11"/>
      <c r="D7" s="6"/>
      <c r="E7" s="6"/>
    </row>
    <row r="8" spans="1:5" ht="15.75">
      <c r="A8" s="7">
        <v>3</v>
      </c>
      <c r="B8" s="8" t="s">
        <v>8</v>
      </c>
      <c r="C8" s="12" t="s">
        <v>9</v>
      </c>
      <c r="D8" s="6">
        <v>0</v>
      </c>
      <c r="E8" s="6"/>
    </row>
    <row r="9" spans="1:5" ht="15.75">
      <c r="A9" s="7">
        <v>4</v>
      </c>
      <c r="B9" s="8" t="s">
        <v>10</v>
      </c>
      <c r="C9" s="12" t="s">
        <v>11</v>
      </c>
      <c r="D9" s="6">
        <f>38405+51000</f>
        <v>89405</v>
      </c>
      <c r="E9" s="6"/>
    </row>
    <row r="10" spans="1:5" ht="15.75">
      <c r="A10" s="7">
        <v>5</v>
      </c>
      <c r="B10" s="8" t="s">
        <v>12</v>
      </c>
      <c r="C10" s="12" t="s">
        <v>13</v>
      </c>
      <c r="D10" s="6"/>
      <c r="E10" s="6"/>
    </row>
    <row r="11" spans="1:5" ht="15.75">
      <c r="A11" s="7">
        <v>6</v>
      </c>
      <c r="B11" s="8" t="s">
        <v>14</v>
      </c>
      <c r="C11" s="12" t="s">
        <v>15</v>
      </c>
      <c r="D11" s="6">
        <v>0</v>
      </c>
      <c r="E11" s="6"/>
    </row>
    <row r="12" spans="1:5" ht="15.75">
      <c r="A12" s="7">
        <v>7</v>
      </c>
      <c r="B12" s="8" t="s">
        <v>16</v>
      </c>
      <c r="C12" s="12" t="s">
        <v>11</v>
      </c>
      <c r="D12" s="6"/>
      <c r="E12" s="6"/>
    </row>
    <row r="13" spans="1:5" ht="16.5" thickBot="1">
      <c r="A13" s="14">
        <v>8</v>
      </c>
      <c r="B13" s="15" t="s">
        <v>17</v>
      </c>
      <c r="C13" s="16" t="s">
        <v>11</v>
      </c>
      <c r="D13" s="6"/>
      <c r="E13" s="6"/>
    </row>
    <row r="14" spans="1:5" ht="21.75" customHeight="1" thickBot="1">
      <c r="A14" s="19"/>
      <c r="B14" s="20" t="s">
        <v>18</v>
      </c>
      <c r="C14" s="33" t="s">
        <v>40</v>
      </c>
      <c r="D14" s="6"/>
      <c r="E14" s="6"/>
    </row>
    <row r="15" spans="1:5" ht="16.5" thickBot="1">
      <c r="A15" s="409" t="s">
        <v>19</v>
      </c>
      <c r="B15" s="409"/>
      <c r="C15" s="409"/>
      <c r="D15" s="17"/>
      <c r="E15" s="17"/>
    </row>
    <row r="16" spans="1:5" ht="38.25" customHeight="1" thickBot="1">
      <c r="A16" s="25" t="s">
        <v>3</v>
      </c>
      <c r="B16" s="26" t="s">
        <v>4</v>
      </c>
      <c r="C16" s="30" t="s">
        <v>5</v>
      </c>
      <c r="D16" s="31"/>
      <c r="E16" s="21"/>
    </row>
    <row r="17" spans="1:5" ht="15.75">
      <c r="A17" s="22">
        <v>1</v>
      </c>
      <c r="B17" s="23" t="s">
        <v>20</v>
      </c>
      <c r="C17" s="29" t="s">
        <v>21</v>
      </c>
      <c r="D17" s="18">
        <f>4331+4636+24780+8650</f>
        <v>42397</v>
      </c>
      <c r="E17" s="18"/>
    </row>
    <row r="18" spans="1:5" ht="15.75">
      <c r="A18" s="7">
        <v>2</v>
      </c>
      <c r="B18" s="8" t="s">
        <v>22</v>
      </c>
      <c r="C18" s="12" t="s">
        <v>23</v>
      </c>
      <c r="D18" s="6">
        <f>13250</f>
        <v>13250</v>
      </c>
      <c r="E18" s="6"/>
    </row>
    <row r="19" spans="1:5" ht="15.75">
      <c r="A19" s="7">
        <v>3</v>
      </c>
      <c r="B19" s="8" t="s">
        <v>24</v>
      </c>
      <c r="C19" s="12" t="s">
        <v>7</v>
      </c>
      <c r="D19" s="6"/>
      <c r="E19" s="6"/>
    </row>
    <row r="20" spans="1:5" ht="15.75">
      <c r="A20" s="7">
        <v>4</v>
      </c>
      <c r="B20" s="8" t="s">
        <v>25</v>
      </c>
      <c r="C20" s="12" t="s">
        <v>26</v>
      </c>
      <c r="D20" s="6"/>
      <c r="E20" s="6"/>
    </row>
    <row r="21" spans="1:5" ht="15.75">
      <c r="A21" s="7">
        <v>5</v>
      </c>
      <c r="B21" s="8" t="s">
        <v>27</v>
      </c>
      <c r="C21" s="12" t="s">
        <v>28</v>
      </c>
      <c r="D21" s="6"/>
      <c r="E21" s="6"/>
    </row>
    <row r="22" spans="1:5" ht="15.75">
      <c r="A22" s="7">
        <v>6</v>
      </c>
      <c r="B22" s="8" t="s">
        <v>29</v>
      </c>
      <c r="C22" s="12" t="s">
        <v>13</v>
      </c>
      <c r="D22" s="6"/>
      <c r="E22" s="6"/>
    </row>
    <row r="23" spans="1:5" ht="15.75">
      <c r="A23" s="7">
        <v>7</v>
      </c>
      <c r="B23" s="8" t="s">
        <v>30</v>
      </c>
      <c r="C23" s="12" t="s">
        <v>11</v>
      </c>
      <c r="D23" s="6"/>
      <c r="E23" s="6"/>
    </row>
    <row r="24" spans="1:5" ht="15.75">
      <c r="A24" s="7">
        <v>8</v>
      </c>
      <c r="B24" s="8" t="s">
        <v>17</v>
      </c>
      <c r="C24" s="12" t="s">
        <v>11</v>
      </c>
      <c r="D24" s="6"/>
      <c r="E24" s="6"/>
    </row>
    <row r="25" spans="1:5" ht="15.75">
      <c r="A25" s="7"/>
      <c r="B25" s="9" t="s">
        <v>31</v>
      </c>
      <c r="C25" s="13" t="s">
        <v>32</v>
      </c>
      <c r="D25" s="6"/>
      <c r="E25" s="6"/>
    </row>
    <row r="26" spans="1:5" ht="24" customHeight="1">
      <c r="A26" s="10"/>
      <c r="B26" s="10" t="s">
        <v>33</v>
      </c>
      <c r="C26" s="32" t="s">
        <v>34</v>
      </c>
      <c r="D26" s="32">
        <f>SUM(D6:D25)</f>
        <v>145052</v>
      </c>
      <c r="E26" s="6"/>
    </row>
    <row r="27" spans="1:3" ht="15">
      <c r="A27" s="1"/>
      <c r="B27" s="1"/>
      <c r="C27" s="1"/>
    </row>
    <row r="28" ht="15">
      <c r="A28" s="2"/>
    </row>
    <row r="29" ht="18.75">
      <c r="A29" s="3"/>
    </row>
  </sheetData>
  <sheetProtection/>
  <mergeCells count="5">
    <mergeCell ref="A1:D1"/>
    <mergeCell ref="A2:E2"/>
    <mergeCell ref="A3:E3"/>
    <mergeCell ref="A15:C15"/>
    <mergeCell ref="A4:C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6.28125" style="0" customWidth="1"/>
    <col min="2" max="2" width="28.00390625" style="0" bestFit="1" customWidth="1"/>
    <col min="3" max="3" width="13.00390625" style="0" customWidth="1"/>
    <col min="4" max="4" width="13.421875" style="0" customWidth="1"/>
    <col min="5" max="5" width="16.8515625" style="0" customWidth="1"/>
  </cols>
  <sheetData>
    <row r="1" spans="1:5" ht="18.75">
      <c r="A1" s="419" t="s">
        <v>85</v>
      </c>
      <c r="B1" s="419"/>
      <c r="C1" s="419"/>
      <c r="D1" s="419"/>
      <c r="E1" s="419"/>
    </row>
    <row r="2" spans="1:5" ht="21">
      <c r="A2" s="420" t="s">
        <v>107</v>
      </c>
      <c r="B2" s="420"/>
      <c r="C2" s="420"/>
      <c r="D2" s="420"/>
      <c r="E2" s="420"/>
    </row>
    <row r="3" spans="1:5" ht="18.75">
      <c r="A3" s="419" t="s">
        <v>1</v>
      </c>
      <c r="B3" s="419"/>
      <c r="C3" s="419"/>
      <c r="D3" s="419"/>
      <c r="E3" s="419"/>
    </row>
    <row r="4" spans="1:4" ht="16.5" thickBot="1">
      <c r="A4" s="421" t="s">
        <v>88</v>
      </c>
      <c r="B4" s="421"/>
      <c r="C4" s="421"/>
      <c r="D4" s="421"/>
    </row>
    <row r="5" spans="1:5" ht="30" customHeight="1" thickBot="1">
      <c r="A5" s="93" t="s">
        <v>45</v>
      </c>
      <c r="B5" s="94" t="s">
        <v>4</v>
      </c>
      <c r="C5" s="95" t="s">
        <v>101</v>
      </c>
      <c r="D5" s="95" t="s">
        <v>84</v>
      </c>
      <c r="E5" s="96" t="s">
        <v>6</v>
      </c>
    </row>
    <row r="6" spans="1:5" ht="15">
      <c r="A6" s="108">
        <v>1</v>
      </c>
      <c r="B6" s="90" t="s">
        <v>89</v>
      </c>
      <c r="C6" s="92" t="s">
        <v>90</v>
      </c>
      <c r="D6" s="91"/>
      <c r="E6" s="109"/>
    </row>
    <row r="7" spans="1:5" ht="15">
      <c r="A7" s="110">
        <v>2</v>
      </c>
      <c r="B7" s="86" t="s">
        <v>91</v>
      </c>
      <c r="C7" s="88" t="s">
        <v>7</v>
      </c>
      <c r="D7" s="85"/>
      <c r="E7" s="111"/>
    </row>
    <row r="8" spans="1:5" ht="15">
      <c r="A8" s="110">
        <v>3</v>
      </c>
      <c r="B8" s="86" t="s">
        <v>8</v>
      </c>
      <c r="C8" s="88" t="s">
        <v>7</v>
      </c>
      <c r="D8" s="85"/>
      <c r="E8" s="111"/>
    </row>
    <row r="9" spans="1:5" ht="15">
      <c r="A9" s="110">
        <v>4</v>
      </c>
      <c r="B9" s="86" t="s">
        <v>92</v>
      </c>
      <c r="C9" s="88" t="s">
        <v>7</v>
      </c>
      <c r="D9" s="85"/>
      <c r="E9" s="111"/>
    </row>
    <row r="10" spans="1:5" ht="15">
      <c r="A10" s="110">
        <v>5</v>
      </c>
      <c r="B10" s="86" t="s">
        <v>12</v>
      </c>
      <c r="C10" s="88">
        <v>50000</v>
      </c>
      <c r="D10" s="86"/>
      <c r="E10" s="111"/>
    </row>
    <row r="11" spans="1:5" ht="15">
      <c r="A11" s="110">
        <v>6</v>
      </c>
      <c r="B11" s="86" t="s">
        <v>93</v>
      </c>
      <c r="C11" s="88" t="s">
        <v>7</v>
      </c>
      <c r="D11" s="85"/>
      <c r="E11" s="111"/>
    </row>
    <row r="12" spans="1:5" ht="15">
      <c r="A12" s="110">
        <v>7</v>
      </c>
      <c r="B12" s="86" t="s">
        <v>16</v>
      </c>
      <c r="C12" s="88">
        <v>10000</v>
      </c>
      <c r="D12" s="85"/>
      <c r="E12" s="111"/>
    </row>
    <row r="13" spans="1:5" ht="15.75" thickBot="1">
      <c r="A13" s="112">
        <v>8</v>
      </c>
      <c r="B13" s="89" t="s">
        <v>17</v>
      </c>
      <c r="C13" s="98">
        <v>10000</v>
      </c>
      <c r="D13" s="97"/>
      <c r="E13" s="113"/>
    </row>
    <row r="14" spans="1:5" ht="15.75" thickBot="1">
      <c r="A14" s="99"/>
      <c r="B14" s="94" t="s">
        <v>94</v>
      </c>
      <c r="C14" s="100">
        <f>SUM(C6:C13)</f>
        <v>70000</v>
      </c>
      <c r="D14" s="94"/>
      <c r="E14" s="101"/>
    </row>
    <row r="15" spans="1:5" ht="16.5" thickBot="1">
      <c r="A15" s="422" t="s">
        <v>95</v>
      </c>
      <c r="B15" s="423"/>
      <c r="C15" s="423"/>
      <c r="D15" s="423"/>
      <c r="E15" s="115"/>
    </row>
    <row r="16" spans="1:5" ht="15.75" thickBot="1">
      <c r="A16" s="93" t="s">
        <v>45</v>
      </c>
      <c r="B16" s="94" t="s">
        <v>4</v>
      </c>
      <c r="C16" s="94" t="s">
        <v>5</v>
      </c>
      <c r="D16" s="94"/>
      <c r="E16" s="101"/>
    </row>
    <row r="17" spans="1:5" ht="15">
      <c r="A17" s="108">
        <v>1</v>
      </c>
      <c r="B17" s="116" t="s">
        <v>96</v>
      </c>
      <c r="C17" s="92" t="s">
        <v>7</v>
      </c>
      <c r="D17" s="91">
        <f>10070</f>
        <v>10070</v>
      </c>
      <c r="E17" s="109"/>
    </row>
    <row r="18" spans="1:5" ht="15">
      <c r="A18" s="110">
        <v>2</v>
      </c>
      <c r="B18" s="87" t="s">
        <v>97</v>
      </c>
      <c r="C18" s="92" t="s">
        <v>7</v>
      </c>
      <c r="D18" s="85"/>
      <c r="E18" s="111"/>
    </row>
    <row r="19" spans="1:5" ht="15">
      <c r="A19" s="110">
        <v>3</v>
      </c>
      <c r="B19" s="87" t="s">
        <v>24</v>
      </c>
      <c r="C19" s="92" t="s">
        <v>7</v>
      </c>
      <c r="D19" s="85"/>
      <c r="E19" s="111"/>
    </row>
    <row r="20" spans="1:5" ht="15">
      <c r="A20" s="110">
        <v>4</v>
      </c>
      <c r="B20" s="87" t="s">
        <v>25</v>
      </c>
      <c r="C20" s="92" t="s">
        <v>7</v>
      </c>
      <c r="D20" s="85"/>
      <c r="E20" s="111"/>
    </row>
    <row r="21" spans="1:5" ht="15">
      <c r="A21" s="110">
        <v>5</v>
      </c>
      <c r="B21" s="87" t="s">
        <v>27</v>
      </c>
      <c r="C21" s="92">
        <v>30000</v>
      </c>
      <c r="D21" s="85"/>
      <c r="E21" s="111"/>
    </row>
    <row r="22" spans="1:5" ht="15">
      <c r="A22" s="110">
        <v>6</v>
      </c>
      <c r="B22" s="87" t="s">
        <v>98</v>
      </c>
      <c r="C22" s="92" t="s">
        <v>7</v>
      </c>
      <c r="D22" s="85"/>
      <c r="E22" s="111"/>
    </row>
    <row r="23" spans="1:5" ht="15">
      <c r="A23" s="110">
        <v>7</v>
      </c>
      <c r="B23" s="87" t="s">
        <v>16</v>
      </c>
      <c r="C23" s="88">
        <v>1275000</v>
      </c>
      <c r="D23" s="85"/>
      <c r="E23" s="111"/>
    </row>
    <row r="24" spans="1:5" ht="15.75" thickBot="1">
      <c r="A24" s="110">
        <v>8</v>
      </c>
      <c r="B24" s="87" t="s">
        <v>17</v>
      </c>
      <c r="C24" s="98">
        <v>10000</v>
      </c>
      <c r="D24" s="85"/>
      <c r="E24" s="111"/>
    </row>
    <row r="25" spans="1:5" ht="15.75" thickBot="1">
      <c r="A25" s="110"/>
      <c r="B25" s="104" t="s">
        <v>99</v>
      </c>
      <c r="C25" s="107">
        <f>SUM(C17:C24)</f>
        <v>1315000</v>
      </c>
      <c r="D25" s="105"/>
      <c r="E25" s="111"/>
    </row>
    <row r="26" spans="1:5" ht="15.75" thickBot="1">
      <c r="A26" s="112"/>
      <c r="B26" s="97"/>
      <c r="C26" s="106"/>
      <c r="D26" s="97"/>
      <c r="E26" s="113"/>
    </row>
    <row r="27" spans="1:5" ht="16.5" thickBot="1">
      <c r="A27" s="99"/>
      <c r="B27" s="94" t="s">
        <v>33</v>
      </c>
      <c r="C27" s="102">
        <f>C25+C14</f>
        <v>1385000</v>
      </c>
      <c r="D27" s="103"/>
      <c r="E27" s="101"/>
    </row>
  </sheetData>
  <sheetProtection/>
  <mergeCells count="5">
    <mergeCell ref="A1:E1"/>
    <mergeCell ref="A2:E2"/>
    <mergeCell ref="A3:E3"/>
    <mergeCell ref="A4:D4"/>
    <mergeCell ref="A15:D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28.00390625" style="0" bestFit="1" customWidth="1"/>
    <col min="3" max="3" width="11.57421875" style="0" customWidth="1"/>
    <col min="4" max="4" width="11.8515625" style="0" customWidth="1"/>
    <col min="5" max="5" width="18.57421875" style="0" customWidth="1"/>
  </cols>
  <sheetData>
    <row r="1" spans="1:5" ht="18.75">
      <c r="A1" s="419" t="s">
        <v>85</v>
      </c>
      <c r="B1" s="419"/>
      <c r="C1" s="419"/>
      <c r="D1" s="419"/>
      <c r="E1" s="419"/>
    </row>
    <row r="2" spans="1:5" ht="21">
      <c r="A2" s="420" t="s">
        <v>108</v>
      </c>
      <c r="B2" s="420"/>
      <c r="C2" s="420"/>
      <c r="D2" s="420"/>
      <c r="E2" s="420"/>
    </row>
    <row r="3" spans="1:5" ht="18.75">
      <c r="A3" s="419" t="s">
        <v>1</v>
      </c>
      <c r="B3" s="419"/>
      <c r="C3" s="419"/>
      <c r="D3" s="419"/>
      <c r="E3" s="419"/>
    </row>
    <row r="4" spans="1:4" ht="16.5" thickBot="1">
      <c r="A4" s="421" t="s">
        <v>88</v>
      </c>
      <c r="B4" s="421"/>
      <c r="C4" s="421"/>
      <c r="D4" s="421"/>
    </row>
    <row r="5" spans="1:5" ht="31.5" customHeight="1" thickBot="1">
      <c r="A5" s="93" t="s">
        <v>45</v>
      </c>
      <c r="B5" s="94" t="s">
        <v>4</v>
      </c>
      <c r="C5" s="95" t="s">
        <v>101</v>
      </c>
      <c r="D5" s="95" t="s">
        <v>84</v>
      </c>
      <c r="E5" s="96" t="s">
        <v>6</v>
      </c>
    </row>
    <row r="6" spans="1:5" ht="15">
      <c r="A6" s="108">
        <v>1</v>
      </c>
      <c r="B6" s="90" t="s">
        <v>89</v>
      </c>
      <c r="C6" s="92" t="s">
        <v>90</v>
      </c>
      <c r="D6" s="91"/>
      <c r="E6" s="109"/>
    </row>
    <row r="7" spans="1:5" ht="15">
      <c r="A7" s="110">
        <v>2</v>
      </c>
      <c r="B7" s="86" t="s">
        <v>91</v>
      </c>
      <c r="C7" s="88" t="s">
        <v>7</v>
      </c>
      <c r="D7" s="85"/>
      <c r="E7" s="111"/>
    </row>
    <row r="8" spans="1:5" ht="15">
      <c r="A8" s="110">
        <v>3</v>
      </c>
      <c r="B8" s="86" t="s">
        <v>8</v>
      </c>
      <c r="C8" s="88">
        <v>8000</v>
      </c>
      <c r="D8" s="85"/>
      <c r="E8" s="111"/>
    </row>
    <row r="9" spans="1:5" ht="15">
      <c r="A9" s="110">
        <v>4</v>
      </c>
      <c r="B9" s="86" t="s">
        <v>92</v>
      </c>
      <c r="C9" s="88">
        <v>2570000</v>
      </c>
      <c r="D9" s="85"/>
      <c r="E9" s="111"/>
    </row>
    <row r="10" spans="1:5" ht="15">
      <c r="A10" s="110">
        <v>5</v>
      </c>
      <c r="B10" s="86" t="s">
        <v>12</v>
      </c>
      <c r="C10" s="88" t="s">
        <v>7</v>
      </c>
      <c r="D10" s="86"/>
      <c r="E10" s="111"/>
    </row>
    <row r="11" spans="1:5" ht="15">
      <c r="A11" s="110">
        <v>6</v>
      </c>
      <c r="B11" s="86" t="s">
        <v>93</v>
      </c>
      <c r="C11" s="88" t="s">
        <v>7</v>
      </c>
      <c r="D11" s="85"/>
      <c r="E11" s="111"/>
    </row>
    <row r="12" spans="1:5" ht="15">
      <c r="A12" s="110">
        <v>7</v>
      </c>
      <c r="B12" s="86" t="s">
        <v>16</v>
      </c>
      <c r="C12" s="88">
        <v>10000</v>
      </c>
      <c r="D12" s="85"/>
      <c r="E12" s="111"/>
    </row>
    <row r="13" spans="1:5" ht="15.75" thickBot="1">
      <c r="A13" s="112">
        <v>8</v>
      </c>
      <c r="B13" s="89" t="s">
        <v>17</v>
      </c>
      <c r="C13" s="98">
        <v>10000</v>
      </c>
      <c r="D13" s="97"/>
      <c r="E13" s="113"/>
    </row>
    <row r="14" spans="1:5" ht="15.75" thickBot="1">
      <c r="A14" s="99"/>
      <c r="B14" s="94" t="s">
        <v>94</v>
      </c>
      <c r="C14" s="100">
        <f>SUM(C6:C13)</f>
        <v>2598000</v>
      </c>
      <c r="D14" s="94"/>
      <c r="E14" s="101"/>
    </row>
    <row r="15" spans="1:5" ht="16.5" thickBot="1">
      <c r="A15" s="422" t="s">
        <v>95</v>
      </c>
      <c r="B15" s="423"/>
      <c r="C15" s="423"/>
      <c r="D15" s="423"/>
      <c r="E15" s="115"/>
    </row>
    <row r="16" spans="1:5" ht="15.75" thickBot="1">
      <c r="A16" s="93" t="s">
        <v>45</v>
      </c>
      <c r="B16" s="94" t="s">
        <v>4</v>
      </c>
      <c r="C16" s="94" t="s">
        <v>5</v>
      </c>
      <c r="D16" s="94"/>
      <c r="E16" s="101"/>
    </row>
    <row r="17" spans="1:5" ht="15">
      <c r="A17" s="108">
        <v>1</v>
      </c>
      <c r="B17" s="116" t="s">
        <v>96</v>
      </c>
      <c r="C17" s="92">
        <v>38000</v>
      </c>
      <c r="D17" s="91">
        <f>14900</f>
        <v>14900</v>
      </c>
      <c r="E17" s="109"/>
    </row>
    <row r="18" spans="1:5" ht="15">
      <c r="A18" s="110">
        <v>2</v>
      </c>
      <c r="B18" s="87" t="s">
        <v>97</v>
      </c>
      <c r="C18" s="92" t="s">
        <v>7</v>
      </c>
      <c r="D18" s="85"/>
      <c r="E18" s="111"/>
    </row>
    <row r="19" spans="1:5" ht="15">
      <c r="A19" s="110">
        <v>3</v>
      </c>
      <c r="B19" s="87" t="s">
        <v>24</v>
      </c>
      <c r="C19" s="92" t="s">
        <v>7</v>
      </c>
      <c r="D19" s="85"/>
      <c r="E19" s="111"/>
    </row>
    <row r="20" spans="1:5" ht="15">
      <c r="A20" s="110">
        <v>4</v>
      </c>
      <c r="B20" s="87" t="s">
        <v>25</v>
      </c>
      <c r="C20" s="92" t="s">
        <v>7</v>
      </c>
      <c r="D20" s="85"/>
      <c r="E20" s="111"/>
    </row>
    <row r="21" spans="1:5" ht="15">
      <c r="A21" s="110">
        <v>5</v>
      </c>
      <c r="B21" s="87" t="s">
        <v>27</v>
      </c>
      <c r="C21" s="92">
        <v>10000</v>
      </c>
      <c r="D21" s="85"/>
      <c r="E21" s="111"/>
    </row>
    <row r="22" spans="1:5" ht="15">
      <c r="A22" s="110">
        <v>6</v>
      </c>
      <c r="B22" s="87" t="s">
        <v>98</v>
      </c>
      <c r="C22" s="92" t="s">
        <v>7</v>
      </c>
      <c r="D22" s="85"/>
      <c r="E22" s="111"/>
    </row>
    <row r="23" spans="1:5" ht="15">
      <c r="A23" s="110">
        <v>7</v>
      </c>
      <c r="B23" s="87" t="s">
        <v>16</v>
      </c>
      <c r="C23" s="88">
        <v>10000</v>
      </c>
      <c r="D23" s="85"/>
      <c r="E23" s="111"/>
    </row>
    <row r="24" spans="1:5" ht="15.75" thickBot="1">
      <c r="A24" s="110">
        <v>8</v>
      </c>
      <c r="B24" s="87" t="s">
        <v>17</v>
      </c>
      <c r="C24" s="98">
        <v>10000</v>
      </c>
      <c r="D24" s="85"/>
      <c r="E24" s="111"/>
    </row>
    <row r="25" spans="1:5" ht="15.75" thickBot="1">
      <c r="A25" s="110"/>
      <c r="B25" s="104" t="s">
        <v>99</v>
      </c>
      <c r="C25" s="107">
        <f>SUM(C17:C24)</f>
        <v>68000</v>
      </c>
      <c r="D25" s="105"/>
      <c r="E25" s="111"/>
    </row>
    <row r="26" spans="1:5" ht="15.75" thickBot="1">
      <c r="A26" s="112"/>
      <c r="B26" s="97"/>
      <c r="C26" s="106"/>
      <c r="D26" s="97"/>
      <c r="E26" s="113"/>
    </row>
    <row r="27" spans="1:5" ht="16.5" thickBot="1">
      <c r="A27" s="99"/>
      <c r="B27" s="94" t="s">
        <v>33</v>
      </c>
      <c r="C27" s="102">
        <f>C25+C14</f>
        <v>2666000</v>
      </c>
      <c r="D27" s="103"/>
      <c r="E27" s="101"/>
    </row>
  </sheetData>
  <sheetProtection/>
  <mergeCells count="5">
    <mergeCell ref="A1:E1"/>
    <mergeCell ref="A2:E2"/>
    <mergeCell ref="A3:E3"/>
    <mergeCell ref="A4:D4"/>
    <mergeCell ref="A15:D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10" sqref="D10"/>
    </sheetView>
  </sheetViews>
  <sheetFormatPr defaultColWidth="9.140625" defaultRowHeight="15"/>
  <cols>
    <col min="2" max="2" width="29.28125" style="0" customWidth="1"/>
    <col min="3" max="3" width="11.140625" style="0" customWidth="1"/>
    <col min="4" max="4" width="14.421875" style="0" customWidth="1"/>
    <col min="5" max="5" width="18.140625" style="0" customWidth="1"/>
  </cols>
  <sheetData>
    <row r="1" spans="1:5" ht="18.75">
      <c r="A1" s="419" t="s">
        <v>85</v>
      </c>
      <c r="B1" s="419"/>
      <c r="C1" s="419"/>
      <c r="D1" s="419"/>
      <c r="E1" s="419"/>
    </row>
    <row r="2" spans="1:5" ht="17.25" customHeight="1">
      <c r="A2" s="420" t="s">
        <v>109</v>
      </c>
      <c r="B2" s="420"/>
      <c r="C2" s="420"/>
      <c r="D2" s="420"/>
      <c r="E2" s="420"/>
    </row>
    <row r="3" spans="1:5" ht="18.75">
      <c r="A3" s="419" t="s">
        <v>1</v>
      </c>
      <c r="B3" s="419"/>
      <c r="C3" s="419"/>
      <c r="D3" s="419"/>
      <c r="E3" s="419"/>
    </row>
    <row r="4" spans="1:4" ht="16.5" thickBot="1">
      <c r="A4" s="421" t="s">
        <v>88</v>
      </c>
      <c r="B4" s="421"/>
      <c r="C4" s="421"/>
      <c r="D4" s="421"/>
    </row>
    <row r="5" spans="1:5" ht="32.25" customHeight="1" thickBot="1">
      <c r="A5" s="93" t="s">
        <v>45</v>
      </c>
      <c r="B5" s="94" t="s">
        <v>4</v>
      </c>
      <c r="C5" s="95" t="s">
        <v>101</v>
      </c>
      <c r="D5" s="95" t="s">
        <v>84</v>
      </c>
      <c r="E5" s="96" t="s">
        <v>6</v>
      </c>
    </row>
    <row r="6" spans="1:5" ht="15">
      <c r="A6" s="108">
        <v>1</v>
      </c>
      <c r="B6" s="90" t="s">
        <v>89</v>
      </c>
      <c r="C6" s="92" t="s">
        <v>90</v>
      </c>
      <c r="D6" s="91"/>
      <c r="E6" s="109"/>
    </row>
    <row r="7" spans="1:5" ht="15">
      <c r="A7" s="110">
        <v>2</v>
      </c>
      <c r="B7" s="86" t="s">
        <v>91</v>
      </c>
      <c r="C7" s="88" t="s">
        <v>7</v>
      </c>
      <c r="D7" s="85"/>
      <c r="E7" s="111"/>
    </row>
    <row r="8" spans="1:5" ht="15">
      <c r="A8" s="110">
        <v>3</v>
      </c>
      <c r="B8" s="86" t="s">
        <v>8</v>
      </c>
      <c r="C8" s="88" t="s">
        <v>7</v>
      </c>
      <c r="D8" s="85"/>
      <c r="E8" s="111"/>
    </row>
    <row r="9" spans="1:5" ht="15">
      <c r="A9" s="110">
        <v>4</v>
      </c>
      <c r="B9" s="86" t="s">
        <v>92</v>
      </c>
      <c r="C9" s="88">
        <v>20000</v>
      </c>
      <c r="D9" s="85">
        <f>51000</f>
        <v>51000</v>
      </c>
      <c r="E9" s="111"/>
    </row>
    <row r="10" spans="1:5" ht="15">
      <c r="A10" s="110">
        <v>5</v>
      </c>
      <c r="B10" s="86" t="s">
        <v>12</v>
      </c>
      <c r="C10" s="88" t="s">
        <v>7</v>
      </c>
      <c r="D10" s="86"/>
      <c r="E10" s="111"/>
    </row>
    <row r="11" spans="1:5" ht="15">
      <c r="A11" s="110">
        <v>6</v>
      </c>
      <c r="B11" s="86" t="s">
        <v>93</v>
      </c>
      <c r="C11" s="88" t="s">
        <v>7</v>
      </c>
      <c r="D11" s="85"/>
      <c r="E11" s="111"/>
    </row>
    <row r="12" spans="1:5" ht="15">
      <c r="A12" s="110">
        <v>7</v>
      </c>
      <c r="B12" s="86" t="s">
        <v>16</v>
      </c>
      <c r="C12" s="88">
        <v>10000</v>
      </c>
      <c r="D12" s="85"/>
      <c r="E12" s="111"/>
    </row>
    <row r="13" spans="1:5" ht="15.75" thickBot="1">
      <c r="A13" s="112">
        <v>8</v>
      </c>
      <c r="B13" s="89" t="s">
        <v>17</v>
      </c>
      <c r="C13" s="98">
        <v>10000</v>
      </c>
      <c r="D13" s="97"/>
      <c r="E13" s="113"/>
    </row>
    <row r="14" spans="1:5" ht="15.75" thickBot="1">
      <c r="A14" s="99"/>
      <c r="B14" s="94" t="s">
        <v>94</v>
      </c>
      <c r="C14" s="100">
        <f>SUM(C6:C13)</f>
        <v>40000</v>
      </c>
      <c r="D14" s="94"/>
      <c r="E14" s="101"/>
    </row>
    <row r="15" spans="1:5" ht="16.5" thickBot="1">
      <c r="A15" s="422" t="s">
        <v>95</v>
      </c>
      <c r="B15" s="423"/>
      <c r="C15" s="423"/>
      <c r="D15" s="423"/>
      <c r="E15" s="115"/>
    </row>
    <row r="16" spans="1:5" ht="15.75" thickBot="1">
      <c r="A16" s="93" t="s">
        <v>45</v>
      </c>
      <c r="B16" s="94" t="s">
        <v>4</v>
      </c>
      <c r="C16" s="94" t="s">
        <v>5</v>
      </c>
      <c r="D16" s="94"/>
      <c r="E16" s="101"/>
    </row>
    <row r="17" spans="1:5" ht="15">
      <c r="A17" s="108">
        <v>1</v>
      </c>
      <c r="B17" s="116" t="s">
        <v>96</v>
      </c>
      <c r="C17" s="92" t="s">
        <v>7</v>
      </c>
      <c r="D17" s="91"/>
      <c r="E17" s="109"/>
    </row>
    <row r="18" spans="1:5" ht="15">
      <c r="A18" s="110">
        <v>2</v>
      </c>
      <c r="B18" s="87" t="s">
        <v>97</v>
      </c>
      <c r="C18" s="92">
        <v>310000</v>
      </c>
      <c r="D18" s="85"/>
      <c r="E18" s="111"/>
    </row>
    <row r="19" spans="1:5" ht="15">
      <c r="A19" s="110">
        <v>3</v>
      </c>
      <c r="B19" s="87" t="s">
        <v>24</v>
      </c>
      <c r="C19" s="92" t="s">
        <v>7</v>
      </c>
      <c r="D19" s="85"/>
      <c r="E19" s="111"/>
    </row>
    <row r="20" spans="1:5" ht="15">
      <c r="A20" s="110">
        <v>4</v>
      </c>
      <c r="B20" s="87" t="s">
        <v>25</v>
      </c>
      <c r="C20" s="92">
        <v>10000</v>
      </c>
      <c r="D20" s="85"/>
      <c r="E20" s="111"/>
    </row>
    <row r="21" spans="1:5" ht="15">
      <c r="A21" s="110">
        <v>5</v>
      </c>
      <c r="B21" s="87" t="s">
        <v>27</v>
      </c>
      <c r="C21" s="92">
        <v>10000</v>
      </c>
      <c r="D21" s="85"/>
      <c r="E21" s="111"/>
    </row>
    <row r="22" spans="1:5" ht="15">
      <c r="A22" s="110">
        <v>6</v>
      </c>
      <c r="B22" s="87" t="s">
        <v>98</v>
      </c>
      <c r="C22" s="92" t="s">
        <v>7</v>
      </c>
      <c r="D22" s="85"/>
      <c r="E22" s="111"/>
    </row>
    <row r="23" spans="1:5" ht="15">
      <c r="A23" s="110">
        <v>7</v>
      </c>
      <c r="B23" s="87" t="s">
        <v>16</v>
      </c>
      <c r="C23" s="88">
        <v>230000</v>
      </c>
      <c r="D23" s="85"/>
      <c r="E23" s="111"/>
    </row>
    <row r="24" spans="1:5" ht="15.75" thickBot="1">
      <c r="A24" s="110">
        <v>8</v>
      </c>
      <c r="B24" s="87" t="s">
        <v>17</v>
      </c>
      <c r="C24" s="98">
        <v>10000</v>
      </c>
      <c r="D24" s="85"/>
      <c r="E24" s="111"/>
    </row>
    <row r="25" spans="1:5" ht="15.75" thickBot="1">
      <c r="A25" s="110"/>
      <c r="B25" s="104" t="s">
        <v>99</v>
      </c>
      <c r="C25" s="107">
        <f>SUM(C17:C24)</f>
        <v>570000</v>
      </c>
      <c r="D25" s="105"/>
      <c r="E25" s="111"/>
    </row>
    <row r="26" spans="1:5" ht="15.75" thickBot="1">
      <c r="A26" s="112"/>
      <c r="B26" s="97"/>
      <c r="C26" s="106"/>
      <c r="D26" s="97"/>
      <c r="E26" s="113"/>
    </row>
    <row r="27" spans="1:5" ht="16.5" thickBot="1">
      <c r="A27" s="99"/>
      <c r="B27" s="94" t="s">
        <v>33</v>
      </c>
      <c r="C27" s="102">
        <f>C25+C14</f>
        <v>610000</v>
      </c>
      <c r="D27" s="103"/>
      <c r="E27" s="101"/>
    </row>
  </sheetData>
  <sheetProtection/>
  <mergeCells count="5">
    <mergeCell ref="A1:E1"/>
    <mergeCell ref="A2:E2"/>
    <mergeCell ref="A3:E3"/>
    <mergeCell ref="A4:D4"/>
    <mergeCell ref="A15:D1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6.8515625" style="0" customWidth="1"/>
    <col min="2" max="2" width="28.00390625" style="0" bestFit="1" customWidth="1"/>
    <col min="3" max="3" width="13.140625" style="0" customWidth="1"/>
    <col min="4" max="4" width="12.421875" style="0" customWidth="1"/>
    <col min="5" max="5" width="18.00390625" style="0" customWidth="1"/>
  </cols>
  <sheetData>
    <row r="1" spans="1:5" ht="18.75">
      <c r="A1" s="419" t="s">
        <v>85</v>
      </c>
      <c r="B1" s="419"/>
      <c r="C1" s="419"/>
      <c r="D1" s="419"/>
      <c r="E1" s="419"/>
    </row>
    <row r="2" spans="1:5" ht="21">
      <c r="A2" s="420" t="s">
        <v>110</v>
      </c>
      <c r="B2" s="420"/>
      <c r="C2" s="420"/>
      <c r="D2" s="420"/>
      <c r="E2" s="420"/>
    </row>
    <row r="3" spans="1:5" ht="18.75">
      <c r="A3" s="419" t="s">
        <v>1</v>
      </c>
      <c r="B3" s="419"/>
      <c r="C3" s="419"/>
      <c r="D3" s="419"/>
      <c r="E3" s="419"/>
    </row>
    <row r="4" spans="1:4" ht="16.5" thickBot="1">
      <c r="A4" s="421" t="s">
        <v>88</v>
      </c>
      <c r="B4" s="421"/>
      <c r="C4" s="421"/>
      <c r="D4" s="421"/>
    </row>
    <row r="5" spans="1:5" ht="30.75" customHeight="1" thickBot="1">
      <c r="A5" s="93" t="s">
        <v>45</v>
      </c>
      <c r="B5" s="94" t="s">
        <v>4</v>
      </c>
      <c r="C5" s="95" t="s">
        <v>101</v>
      </c>
      <c r="D5" s="95" t="s">
        <v>84</v>
      </c>
      <c r="E5" s="96" t="s">
        <v>6</v>
      </c>
    </row>
    <row r="6" spans="1:5" ht="15">
      <c r="A6" s="108">
        <v>1</v>
      </c>
      <c r="B6" s="90" t="s">
        <v>89</v>
      </c>
      <c r="C6" s="92">
        <v>6855000</v>
      </c>
      <c r="D6" s="91"/>
      <c r="E6" s="109"/>
    </row>
    <row r="7" spans="1:5" ht="15">
      <c r="A7" s="110">
        <v>2</v>
      </c>
      <c r="B7" s="86" t="s">
        <v>91</v>
      </c>
      <c r="C7" s="88">
        <v>2670000</v>
      </c>
      <c r="D7" s="85"/>
      <c r="E7" s="111"/>
    </row>
    <row r="8" spans="1:5" ht="15">
      <c r="A8" s="110">
        <v>3</v>
      </c>
      <c r="B8" s="86" t="s">
        <v>8</v>
      </c>
      <c r="C8" s="88">
        <v>1855000</v>
      </c>
      <c r="D8" s="85"/>
      <c r="E8" s="111"/>
    </row>
    <row r="9" spans="1:5" ht="15">
      <c r="A9" s="110">
        <v>4</v>
      </c>
      <c r="B9" s="86" t="s">
        <v>92</v>
      </c>
      <c r="C9" s="88" t="s">
        <v>7</v>
      </c>
      <c r="D9" s="85"/>
      <c r="E9" s="111"/>
    </row>
    <row r="10" spans="1:5" ht="15">
      <c r="A10" s="110">
        <v>5</v>
      </c>
      <c r="B10" s="86" t="s">
        <v>12</v>
      </c>
      <c r="C10" s="88" t="s">
        <v>7</v>
      </c>
      <c r="D10" s="86"/>
      <c r="E10" s="111"/>
    </row>
    <row r="11" spans="1:5" ht="15">
      <c r="A11" s="110">
        <v>6</v>
      </c>
      <c r="B11" s="86" t="s">
        <v>93</v>
      </c>
      <c r="C11" s="88" t="s">
        <v>7</v>
      </c>
      <c r="D11" s="85"/>
      <c r="E11" s="111"/>
    </row>
    <row r="12" spans="1:5" ht="15">
      <c r="A12" s="110">
        <v>7</v>
      </c>
      <c r="B12" s="86" t="s">
        <v>16</v>
      </c>
      <c r="C12" s="88">
        <v>400000</v>
      </c>
      <c r="D12" s="85"/>
      <c r="E12" s="111"/>
    </row>
    <row r="13" spans="1:5" ht="15.75" thickBot="1">
      <c r="A13" s="112">
        <v>8</v>
      </c>
      <c r="B13" s="89" t="s">
        <v>17</v>
      </c>
      <c r="C13" s="98">
        <v>200000</v>
      </c>
      <c r="D13" s="97"/>
      <c r="E13" s="113"/>
    </row>
    <row r="14" spans="1:5" ht="15.75" thickBot="1">
      <c r="A14" s="99"/>
      <c r="B14" s="94" t="s">
        <v>94</v>
      </c>
      <c r="C14" s="100">
        <f>SUM(C6:C13)</f>
        <v>11980000</v>
      </c>
      <c r="D14" s="94"/>
      <c r="E14" s="101"/>
    </row>
    <row r="15" spans="1:5" ht="16.5" thickBot="1">
      <c r="A15" s="422" t="s">
        <v>95</v>
      </c>
      <c r="B15" s="423"/>
      <c r="C15" s="423"/>
      <c r="D15" s="423"/>
      <c r="E15" s="115"/>
    </row>
    <row r="16" spans="1:5" ht="15.75" thickBot="1">
      <c r="A16" s="93" t="s">
        <v>45</v>
      </c>
      <c r="B16" s="94" t="s">
        <v>4</v>
      </c>
      <c r="C16" s="94" t="s">
        <v>5</v>
      </c>
      <c r="D16" s="94"/>
      <c r="E16" s="101"/>
    </row>
    <row r="17" spans="1:5" ht="15">
      <c r="A17" s="108">
        <v>1</v>
      </c>
      <c r="B17" s="116" t="s">
        <v>96</v>
      </c>
      <c r="C17" s="92">
        <v>11494000</v>
      </c>
      <c r="D17" s="91">
        <f>8800+5250+6420+6000</f>
        <v>26470</v>
      </c>
      <c r="E17" s="109"/>
    </row>
    <row r="18" spans="1:5" ht="15">
      <c r="A18" s="110">
        <v>2</v>
      </c>
      <c r="B18" s="87" t="s">
        <v>97</v>
      </c>
      <c r="C18" s="92">
        <v>4250000</v>
      </c>
      <c r="D18" s="85"/>
      <c r="E18" s="111"/>
    </row>
    <row r="19" spans="1:5" ht="15">
      <c r="A19" s="110">
        <v>3</v>
      </c>
      <c r="B19" s="87" t="s">
        <v>24</v>
      </c>
      <c r="C19" s="92">
        <v>2500000</v>
      </c>
      <c r="D19" s="85"/>
      <c r="E19" s="111"/>
    </row>
    <row r="20" spans="1:5" ht="15">
      <c r="A20" s="110">
        <v>4</v>
      </c>
      <c r="B20" s="87" t="s">
        <v>25</v>
      </c>
      <c r="C20" s="92" t="s">
        <v>7</v>
      </c>
      <c r="D20" s="85"/>
      <c r="E20" s="111"/>
    </row>
    <row r="21" spans="1:5" ht="15">
      <c r="A21" s="110">
        <v>5</v>
      </c>
      <c r="B21" s="87" t="s">
        <v>27</v>
      </c>
      <c r="C21" s="92">
        <v>100000</v>
      </c>
      <c r="D21" s="85"/>
      <c r="E21" s="111"/>
    </row>
    <row r="22" spans="1:5" ht="15">
      <c r="A22" s="110">
        <v>6</v>
      </c>
      <c r="B22" s="87" t="s">
        <v>98</v>
      </c>
      <c r="C22" s="92" t="s">
        <v>7</v>
      </c>
      <c r="D22" s="85"/>
      <c r="E22" s="111"/>
    </row>
    <row r="23" spans="1:5" ht="15">
      <c r="A23" s="110">
        <v>7</v>
      </c>
      <c r="B23" s="87" t="s">
        <v>16</v>
      </c>
      <c r="C23" s="88">
        <v>500000</v>
      </c>
      <c r="D23" s="85"/>
      <c r="E23" s="111"/>
    </row>
    <row r="24" spans="1:5" ht="15.75" thickBot="1">
      <c r="A24" s="110">
        <v>8</v>
      </c>
      <c r="B24" s="87" t="s">
        <v>17</v>
      </c>
      <c r="C24" s="98">
        <v>200000</v>
      </c>
      <c r="D24" s="85"/>
      <c r="E24" s="111"/>
    </row>
    <row r="25" spans="1:5" ht="15.75" thickBot="1">
      <c r="A25" s="110"/>
      <c r="B25" s="104" t="s">
        <v>99</v>
      </c>
      <c r="C25" s="107">
        <f>SUM(C17:C24)</f>
        <v>19044000</v>
      </c>
      <c r="D25" s="105"/>
      <c r="E25" s="111"/>
    </row>
    <row r="26" spans="1:5" ht="15.75" thickBot="1">
      <c r="A26" s="112"/>
      <c r="B26" s="97"/>
      <c r="C26" s="106"/>
      <c r="D26" s="97"/>
      <c r="E26" s="113"/>
    </row>
    <row r="27" spans="1:5" ht="16.5" thickBot="1">
      <c r="A27" s="99"/>
      <c r="B27" s="94" t="s">
        <v>33</v>
      </c>
      <c r="C27" s="102">
        <f>C25+C14</f>
        <v>31024000</v>
      </c>
      <c r="D27" s="103"/>
      <c r="E27" s="101"/>
    </row>
  </sheetData>
  <sheetProtection/>
  <mergeCells count="5">
    <mergeCell ref="A1:E1"/>
    <mergeCell ref="A2:E2"/>
    <mergeCell ref="A3:E3"/>
    <mergeCell ref="A4:D4"/>
    <mergeCell ref="A15:D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4:Q42"/>
  <sheetViews>
    <sheetView zoomScalePageLayoutView="0" workbookViewId="0" topLeftCell="A1">
      <selection activeCell="F12" sqref="F12"/>
    </sheetView>
  </sheetViews>
  <sheetFormatPr defaultColWidth="9.140625" defaultRowHeight="15"/>
  <cols>
    <col min="3" max="3" width="37.140625" style="0" bestFit="1" customWidth="1"/>
    <col min="4" max="10" width="12.57421875" style="0" bestFit="1" customWidth="1"/>
    <col min="11" max="11" width="12.57421875" style="0" customWidth="1"/>
    <col min="12" max="17" width="12.57421875" style="0" hidden="1" customWidth="1"/>
  </cols>
  <sheetData>
    <row r="4" spans="2:9" ht="21">
      <c r="B4" s="247" t="s">
        <v>240</v>
      </c>
      <c r="C4" s="248"/>
      <c r="D4" s="248"/>
      <c r="E4" s="248"/>
      <c r="F4" s="248"/>
      <c r="G4" s="248"/>
      <c r="H4" s="249"/>
      <c r="I4" s="249"/>
    </row>
    <row r="5" spans="2:11" ht="15.75">
      <c r="B5" s="174" t="s">
        <v>131</v>
      </c>
      <c r="C5" s="174"/>
      <c r="D5" s="174"/>
      <c r="E5" s="174"/>
      <c r="F5" s="174"/>
      <c r="G5" s="174"/>
      <c r="H5" s="174"/>
      <c r="I5" s="174"/>
      <c r="J5" s="174"/>
      <c r="K5" s="174"/>
    </row>
    <row r="6" spans="2:11" ht="15.75">
      <c r="B6" s="174" t="s">
        <v>248</v>
      </c>
      <c r="C6" s="174"/>
      <c r="D6" s="174"/>
      <c r="E6" s="174"/>
      <c r="F6" s="174"/>
      <c r="G6" s="174"/>
      <c r="H6" s="174"/>
      <c r="I6" s="174"/>
      <c r="J6" s="174"/>
      <c r="K6" s="174"/>
    </row>
    <row r="7" spans="2:17" ht="19.5">
      <c r="B7" s="451" t="s">
        <v>111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</row>
    <row r="8" spans="2:17" ht="15">
      <c r="B8" s="452" t="s">
        <v>289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</row>
    <row r="9" ht="15.75" thickBot="1"/>
    <row r="10" spans="2:17" ht="41.25" customHeight="1" thickBot="1">
      <c r="B10" s="250" t="s">
        <v>249</v>
      </c>
      <c r="C10" s="251" t="s">
        <v>250</v>
      </c>
      <c r="D10" s="252" t="s">
        <v>251</v>
      </c>
      <c r="E10" s="253" t="s">
        <v>252</v>
      </c>
      <c r="F10" s="252" t="s">
        <v>251</v>
      </c>
      <c r="G10" s="254" t="s">
        <v>253</v>
      </c>
      <c r="H10" s="255" t="s">
        <v>251</v>
      </c>
      <c r="I10" s="254" t="s">
        <v>253</v>
      </c>
      <c r="J10" s="255" t="s">
        <v>251</v>
      </c>
      <c r="K10" s="254" t="s">
        <v>253</v>
      </c>
      <c r="L10" s="255" t="s">
        <v>251</v>
      </c>
      <c r="M10" s="254" t="s">
        <v>253</v>
      </c>
      <c r="N10" s="255" t="s">
        <v>251</v>
      </c>
      <c r="O10" s="254" t="s">
        <v>253</v>
      </c>
      <c r="P10" s="255" t="s">
        <v>251</v>
      </c>
      <c r="Q10" s="254" t="s">
        <v>253</v>
      </c>
    </row>
    <row r="11" spans="2:17" ht="18" thickBot="1">
      <c r="B11" s="256"/>
      <c r="C11" s="257" t="s">
        <v>254</v>
      </c>
      <c r="D11" s="453" t="s">
        <v>255</v>
      </c>
      <c r="E11" s="454"/>
      <c r="F11" s="455" t="s">
        <v>256</v>
      </c>
      <c r="G11" s="456"/>
      <c r="H11" s="457" t="s">
        <v>257</v>
      </c>
      <c r="I11" s="458"/>
      <c r="J11" s="459" t="s">
        <v>258</v>
      </c>
      <c r="K11" s="460"/>
      <c r="L11" s="459" t="s">
        <v>259</v>
      </c>
      <c r="M11" s="460"/>
      <c r="N11" s="459" t="s">
        <v>154</v>
      </c>
      <c r="O11" s="460"/>
      <c r="P11" s="461" t="s">
        <v>137</v>
      </c>
      <c r="Q11" s="462"/>
    </row>
    <row r="12" spans="2:17" ht="18" customHeight="1">
      <c r="B12" s="258">
        <v>1</v>
      </c>
      <c r="C12" s="259" t="s">
        <v>260</v>
      </c>
      <c r="D12" s="260"/>
      <c r="E12" s="261"/>
      <c r="F12" s="261"/>
      <c r="G12" s="262"/>
      <c r="H12" s="263"/>
      <c r="I12" s="144"/>
      <c r="J12" s="143"/>
      <c r="K12" s="144"/>
      <c r="L12" s="143"/>
      <c r="M12" s="144"/>
      <c r="N12" s="143"/>
      <c r="O12" s="144"/>
      <c r="P12" s="264"/>
      <c r="Q12" s="144"/>
    </row>
    <row r="13" spans="2:17" ht="18" customHeight="1">
      <c r="B13" s="258"/>
      <c r="C13" s="265" t="s">
        <v>261</v>
      </c>
      <c r="D13" s="448">
        <v>25000000</v>
      </c>
      <c r="E13" s="266">
        <v>18669096</v>
      </c>
      <c r="F13" s="448">
        <v>11000000</v>
      </c>
      <c r="G13" s="267">
        <f>6716001+3644531</f>
        <v>10360532</v>
      </c>
      <c r="H13" s="439">
        <v>9500000</v>
      </c>
      <c r="I13" s="268">
        <v>3678218</v>
      </c>
      <c r="J13" s="445">
        <v>18000000</v>
      </c>
      <c r="K13" s="140">
        <v>10924296</v>
      </c>
      <c r="L13" s="445">
        <v>10000000</v>
      </c>
      <c r="M13" s="140">
        <v>7940462</v>
      </c>
      <c r="N13" s="445">
        <v>6000000</v>
      </c>
      <c r="O13" s="140">
        <v>1897021</v>
      </c>
      <c r="P13" s="431">
        <v>16500000</v>
      </c>
      <c r="Q13" s="269">
        <v>2815822</v>
      </c>
    </row>
    <row r="14" spans="2:17" ht="18" customHeight="1">
      <c r="B14" s="258"/>
      <c r="C14" s="270" t="s">
        <v>262</v>
      </c>
      <c r="D14" s="449"/>
      <c r="E14" s="271">
        <f>3039893</f>
        <v>3039893</v>
      </c>
      <c r="F14" s="449"/>
      <c r="G14" s="272">
        <f>30220+1543211</f>
        <v>1573431</v>
      </c>
      <c r="H14" s="440"/>
      <c r="I14" s="268">
        <v>477778</v>
      </c>
      <c r="J14" s="446"/>
      <c r="K14" s="140">
        <v>1160023</v>
      </c>
      <c r="L14" s="446"/>
      <c r="M14" s="140">
        <v>1922420</v>
      </c>
      <c r="N14" s="446"/>
      <c r="O14" s="140">
        <v>1109996</v>
      </c>
      <c r="P14" s="432"/>
      <c r="Q14" s="269">
        <v>1023764</v>
      </c>
    </row>
    <row r="15" spans="2:17" ht="18" customHeight="1">
      <c r="B15" s="258"/>
      <c r="C15" s="270" t="s">
        <v>263</v>
      </c>
      <c r="D15" s="449"/>
      <c r="E15" s="271">
        <f>8063965</f>
        <v>8063965</v>
      </c>
      <c r="F15" s="449"/>
      <c r="G15" s="272">
        <f>4903665+2114884-2203185</f>
        <v>4815364</v>
      </c>
      <c r="H15" s="440"/>
      <c r="I15" s="268">
        <v>2556707</v>
      </c>
      <c r="J15" s="446"/>
      <c r="K15" s="140">
        <v>7137784</v>
      </c>
      <c r="L15" s="446"/>
      <c r="M15" s="140">
        <v>7183359</v>
      </c>
      <c r="N15" s="446"/>
      <c r="O15" s="140">
        <v>3300000</v>
      </c>
      <c r="P15" s="432"/>
      <c r="Q15" s="269">
        <v>6538200</v>
      </c>
    </row>
    <row r="16" spans="2:17" ht="18" customHeight="1">
      <c r="B16" s="258"/>
      <c r="C16" s="270" t="s">
        <v>264</v>
      </c>
      <c r="D16" s="450"/>
      <c r="E16" s="273">
        <v>6568537</v>
      </c>
      <c r="F16" s="450"/>
      <c r="G16" s="274">
        <f>3947376</f>
        <v>3947376</v>
      </c>
      <c r="H16" s="441"/>
      <c r="I16" s="275">
        <v>15936881</v>
      </c>
      <c r="J16" s="447"/>
      <c r="K16" s="140">
        <v>5455317</v>
      </c>
      <c r="L16" s="447"/>
      <c r="M16" s="140">
        <v>1859864</v>
      </c>
      <c r="N16" s="447"/>
      <c r="O16" s="140">
        <v>1728375</v>
      </c>
      <c r="P16" s="433"/>
      <c r="Q16" s="269">
        <v>1028957</v>
      </c>
    </row>
    <row r="17" spans="2:17" ht="18" customHeight="1">
      <c r="B17" s="258">
        <v>2</v>
      </c>
      <c r="C17" s="276" t="s">
        <v>265</v>
      </c>
      <c r="D17" s="277">
        <v>12500000</v>
      </c>
      <c r="E17" s="434">
        <f>10100157-E20</f>
        <v>9783307</v>
      </c>
      <c r="F17" s="278">
        <v>11500000</v>
      </c>
      <c r="G17" s="272">
        <f>12133885-G18-G20</f>
        <v>9623810</v>
      </c>
      <c r="H17" s="148">
        <v>8300000</v>
      </c>
      <c r="I17" s="140">
        <f>14065770-I20</f>
        <v>13475967</v>
      </c>
      <c r="J17" s="176">
        <v>12250000</v>
      </c>
      <c r="K17" s="279">
        <f>13498064-K20</f>
        <v>12126298</v>
      </c>
      <c r="L17" s="176">
        <v>4200000</v>
      </c>
      <c r="M17" s="279">
        <f>15719416-M20</f>
        <v>14193257</v>
      </c>
      <c r="N17" s="176">
        <f>8500000-N20</f>
        <v>8400000</v>
      </c>
      <c r="O17" s="279">
        <f>7892418-O20</f>
        <v>7850345</v>
      </c>
      <c r="P17" s="176">
        <v>7820000</v>
      </c>
      <c r="Q17" s="140">
        <v>3639098</v>
      </c>
    </row>
    <row r="18" spans="2:17" ht="18" customHeight="1">
      <c r="B18" s="258">
        <v>3</v>
      </c>
      <c r="C18" s="276" t="s">
        <v>266</v>
      </c>
      <c r="D18" s="280">
        <v>2500000</v>
      </c>
      <c r="E18" s="435"/>
      <c r="F18" s="281">
        <v>1500000</v>
      </c>
      <c r="G18" s="282">
        <v>1042075</v>
      </c>
      <c r="H18" s="148">
        <v>1700000</v>
      </c>
      <c r="I18" s="140">
        <f>722624+743400</f>
        <v>1466024</v>
      </c>
      <c r="J18" s="176">
        <v>300000</v>
      </c>
      <c r="K18" s="140">
        <v>303868</v>
      </c>
      <c r="L18" s="139"/>
      <c r="M18" s="145"/>
      <c r="N18" s="176">
        <v>200000</v>
      </c>
      <c r="O18" s="140">
        <v>166050</v>
      </c>
      <c r="P18" s="176">
        <v>570000</v>
      </c>
      <c r="Q18" s="140">
        <v>161700</v>
      </c>
    </row>
    <row r="19" spans="2:17" ht="18" customHeight="1">
      <c r="B19" s="258">
        <v>4</v>
      </c>
      <c r="C19" s="276" t="s">
        <v>267</v>
      </c>
      <c r="D19" s="280">
        <v>2500000</v>
      </c>
      <c r="E19" s="283">
        <v>2064633</v>
      </c>
      <c r="F19" s="281">
        <v>2000000</v>
      </c>
      <c r="G19" s="282">
        <v>1795794</v>
      </c>
      <c r="H19" s="148">
        <v>2035000</v>
      </c>
      <c r="I19" s="140">
        <v>1787087</v>
      </c>
      <c r="J19" s="176">
        <v>1750000</v>
      </c>
      <c r="K19" s="140">
        <v>1718020</v>
      </c>
      <c r="L19" s="176">
        <v>1700000</v>
      </c>
      <c r="M19" s="140">
        <v>2135356</v>
      </c>
      <c r="N19" s="176">
        <v>1500000</v>
      </c>
      <c r="O19" s="140">
        <v>1420993</v>
      </c>
      <c r="P19" s="176">
        <v>2000000</v>
      </c>
      <c r="Q19" s="140">
        <v>1345319</v>
      </c>
    </row>
    <row r="20" spans="2:17" ht="18" customHeight="1" thickBot="1">
      <c r="B20" s="258">
        <v>5</v>
      </c>
      <c r="C20" s="284" t="s">
        <v>268</v>
      </c>
      <c r="D20" s="280">
        <v>2000000</v>
      </c>
      <c r="E20" s="285">
        <v>316850</v>
      </c>
      <c r="F20" s="286">
        <v>1000000</v>
      </c>
      <c r="G20" s="287">
        <v>1468000</v>
      </c>
      <c r="H20" s="149">
        <v>1000000</v>
      </c>
      <c r="I20" s="288">
        <f>589803</f>
        <v>589803</v>
      </c>
      <c r="J20" s="177">
        <v>1500000</v>
      </c>
      <c r="K20" s="288">
        <v>1371766</v>
      </c>
      <c r="L20" s="289">
        <v>1500000</v>
      </c>
      <c r="M20" s="288">
        <v>1526159</v>
      </c>
      <c r="N20" s="177">
        <v>100000</v>
      </c>
      <c r="O20" s="288">
        <v>42073</v>
      </c>
      <c r="P20" s="177">
        <v>500000</v>
      </c>
      <c r="Q20" s="202">
        <v>73989</v>
      </c>
    </row>
    <row r="21" spans="2:17" ht="18" customHeight="1" thickBot="1">
      <c r="B21" s="258"/>
      <c r="C21" s="290" t="s">
        <v>269</v>
      </c>
      <c r="D21" s="291">
        <f>SUM(D13:D20)</f>
        <v>44500000</v>
      </c>
      <c r="E21" s="291">
        <f>SUM(E13:E20)</f>
        <v>48506281</v>
      </c>
      <c r="F21" s="291">
        <f>SUM(F13:F20)</f>
        <v>27000000</v>
      </c>
      <c r="G21" s="291">
        <f>SUM(G13:G20)</f>
        <v>34626382</v>
      </c>
      <c r="H21" s="292">
        <f>SUM(H13:H20)</f>
        <v>22535000</v>
      </c>
      <c r="I21" s="292">
        <f aca="true" t="shared" si="0" ref="I21:O21">SUM(I13:I20)</f>
        <v>39968465</v>
      </c>
      <c r="J21" s="292">
        <f t="shared" si="0"/>
        <v>33800000</v>
      </c>
      <c r="K21" s="292">
        <f t="shared" si="0"/>
        <v>40197372</v>
      </c>
      <c r="L21" s="292">
        <f t="shared" si="0"/>
        <v>17400000</v>
      </c>
      <c r="M21" s="292">
        <f>SUM(M13:M20)</f>
        <v>36760877</v>
      </c>
      <c r="N21" s="292">
        <f t="shared" si="0"/>
        <v>16200000</v>
      </c>
      <c r="O21" s="292">
        <f t="shared" si="0"/>
        <v>17514853</v>
      </c>
      <c r="P21" s="293">
        <f>SUM(P12:P20)</f>
        <v>27390000</v>
      </c>
      <c r="Q21" s="293">
        <f>SUM(Q12:Q20)</f>
        <v>16626849</v>
      </c>
    </row>
    <row r="22" spans="2:17" ht="18" customHeight="1">
      <c r="B22" s="258"/>
      <c r="C22" s="294" t="s">
        <v>270</v>
      </c>
      <c r="D22" s="295"/>
      <c r="E22" s="296"/>
      <c r="F22" s="296"/>
      <c r="G22" s="297"/>
      <c r="H22" s="263"/>
      <c r="I22" s="144"/>
      <c r="J22" s="143"/>
      <c r="K22" s="298"/>
      <c r="L22" s="299"/>
      <c r="M22" s="300"/>
      <c r="N22" s="143"/>
      <c r="O22" s="144"/>
      <c r="P22" s="143"/>
      <c r="Q22" s="144"/>
    </row>
    <row r="23" spans="2:17" ht="18" customHeight="1">
      <c r="B23" s="258">
        <v>4</v>
      </c>
      <c r="C23" s="301" t="s">
        <v>271</v>
      </c>
      <c r="D23" s="302"/>
      <c r="E23" s="303"/>
      <c r="F23" s="303"/>
      <c r="G23" s="304"/>
      <c r="H23" s="305"/>
      <c r="I23" s="279"/>
      <c r="J23" s="139"/>
      <c r="K23" s="306"/>
      <c r="L23" s="307"/>
      <c r="M23" s="308"/>
      <c r="N23" s="139"/>
      <c r="O23" s="279"/>
      <c r="P23" s="139"/>
      <c r="Q23" s="145"/>
    </row>
    <row r="24" spans="2:17" ht="18" customHeight="1">
      <c r="B24" s="258"/>
      <c r="C24" s="309" t="s">
        <v>272</v>
      </c>
      <c r="D24" s="436">
        <v>207732000</v>
      </c>
      <c r="E24" s="310">
        <f>199569583-E30-E26-E25</f>
        <v>165591793</v>
      </c>
      <c r="F24" s="436">
        <f>195500000-F30</f>
        <v>187000000</v>
      </c>
      <c r="G24" s="311">
        <f>193609122-G25-G26-G30</f>
        <v>159631182</v>
      </c>
      <c r="H24" s="439">
        <v>167500000</v>
      </c>
      <c r="I24" s="268">
        <f>143768688+2700307</f>
        <v>146468995</v>
      </c>
      <c r="J24" s="431">
        <v>158000000</v>
      </c>
      <c r="K24" s="312">
        <f>135441781-777051</f>
        <v>134664730</v>
      </c>
      <c r="L24" s="442">
        <v>131000000</v>
      </c>
      <c r="M24" s="313">
        <v>117021975</v>
      </c>
      <c r="N24" s="445">
        <f>107500000-N30</f>
        <v>103500000</v>
      </c>
      <c r="O24" s="145">
        <v>88136464</v>
      </c>
      <c r="P24" s="445">
        <v>84000000</v>
      </c>
      <c r="Q24" s="140">
        <v>71523748</v>
      </c>
    </row>
    <row r="25" spans="2:17" ht="18" customHeight="1">
      <c r="B25" s="258"/>
      <c r="C25" s="309" t="s">
        <v>273</v>
      </c>
      <c r="D25" s="437"/>
      <c r="E25" s="314">
        <v>7423498</v>
      </c>
      <c r="F25" s="437"/>
      <c r="G25" s="311">
        <v>8592016</v>
      </c>
      <c r="H25" s="440"/>
      <c r="I25" s="268">
        <f>8647992+200000</f>
        <v>8847992</v>
      </c>
      <c r="J25" s="432"/>
      <c r="K25" s="315">
        <f>9177052-800000</f>
        <v>8377052</v>
      </c>
      <c r="L25" s="443"/>
      <c r="M25" s="316">
        <f>6778320</f>
        <v>6778320</v>
      </c>
      <c r="N25" s="446"/>
      <c r="O25" s="145">
        <v>5798252</v>
      </c>
      <c r="P25" s="446"/>
      <c r="Q25" s="140">
        <v>6005971</v>
      </c>
    </row>
    <row r="26" spans="2:17" ht="18" customHeight="1">
      <c r="B26" s="258"/>
      <c r="C26" s="317" t="s">
        <v>274</v>
      </c>
      <c r="D26" s="438"/>
      <c r="E26" s="318">
        <v>18407743</v>
      </c>
      <c r="F26" s="438"/>
      <c r="G26" s="319">
        <v>17734527</v>
      </c>
      <c r="H26" s="441"/>
      <c r="I26" s="275">
        <f>21737900+800000-I30</f>
        <v>15846289</v>
      </c>
      <c r="J26" s="433"/>
      <c r="K26" s="315">
        <f>12868647</f>
        <v>12868647</v>
      </c>
      <c r="L26" s="444"/>
      <c r="M26" s="316">
        <v>15131208</v>
      </c>
      <c r="N26" s="447"/>
      <c r="O26" s="145">
        <f>12590033+488076</f>
        <v>13078109</v>
      </c>
      <c r="P26" s="447"/>
      <c r="Q26" s="140">
        <f>9911358-Q30</f>
        <v>6257038</v>
      </c>
    </row>
    <row r="27" spans="2:17" ht="18" customHeight="1">
      <c r="B27" s="258">
        <v>5</v>
      </c>
      <c r="C27" s="320" t="s">
        <v>275</v>
      </c>
      <c r="D27" s="321">
        <v>65000000</v>
      </c>
      <c r="E27" s="322">
        <f>79617251</f>
        <v>79617251</v>
      </c>
      <c r="F27" s="323">
        <v>61570000</v>
      </c>
      <c r="G27" s="324">
        <f>71451239</f>
        <v>71451239</v>
      </c>
      <c r="H27" s="148">
        <v>55907000</v>
      </c>
      <c r="I27" s="140">
        <f>65322954</f>
        <v>65322954</v>
      </c>
      <c r="J27" s="176">
        <v>46550000</v>
      </c>
      <c r="K27" s="325">
        <v>51506387</v>
      </c>
      <c r="L27" s="326">
        <v>43400000</v>
      </c>
      <c r="M27" s="316">
        <v>51090430</v>
      </c>
      <c r="N27" s="176">
        <v>37500000</v>
      </c>
      <c r="O27" s="145">
        <v>34735208</v>
      </c>
      <c r="P27" s="176">
        <v>18660000</v>
      </c>
      <c r="Q27" s="140">
        <v>27261826</v>
      </c>
    </row>
    <row r="28" spans="2:17" ht="18" customHeight="1">
      <c r="B28" s="258">
        <v>6</v>
      </c>
      <c r="C28" s="301" t="s">
        <v>276</v>
      </c>
      <c r="D28" s="302"/>
      <c r="E28" s="327"/>
      <c r="F28" s="328"/>
      <c r="G28" s="329"/>
      <c r="H28" s="147"/>
      <c r="I28" s="279"/>
      <c r="J28" s="139"/>
      <c r="K28" s="279"/>
      <c r="L28" s="307"/>
      <c r="M28" s="279"/>
      <c r="N28" s="139"/>
      <c r="O28" s="145"/>
      <c r="P28" s="139"/>
      <c r="Q28" s="145"/>
    </row>
    <row r="29" spans="2:17" ht="18" customHeight="1">
      <c r="B29" s="258"/>
      <c r="C29" s="309" t="s">
        <v>277</v>
      </c>
      <c r="D29" s="330">
        <v>17000000</v>
      </c>
      <c r="E29" s="331">
        <f>15450265</f>
        <v>15450265</v>
      </c>
      <c r="F29" s="323">
        <v>21500000</v>
      </c>
      <c r="G29" s="282">
        <v>14378294</v>
      </c>
      <c r="H29" s="148">
        <v>18000000</v>
      </c>
      <c r="I29" s="140">
        <f>9504884+2151221+1326027</f>
        <v>12982132</v>
      </c>
      <c r="J29" s="176">
        <v>15000000</v>
      </c>
      <c r="K29" s="332">
        <v>14801794</v>
      </c>
      <c r="L29" s="333">
        <v>10000000</v>
      </c>
      <c r="M29" s="316">
        <v>10103818</v>
      </c>
      <c r="N29" s="148">
        <v>10000000</v>
      </c>
      <c r="O29" s="140">
        <v>10958101</v>
      </c>
      <c r="P29" s="176">
        <v>8500000</v>
      </c>
      <c r="Q29" s="140">
        <v>8935695</v>
      </c>
    </row>
    <row r="30" spans="2:17" ht="18" customHeight="1">
      <c r="B30" s="258"/>
      <c r="C30" s="309" t="s">
        <v>278</v>
      </c>
      <c r="D30" s="330">
        <v>8500000</v>
      </c>
      <c r="E30" s="331">
        <v>8146549</v>
      </c>
      <c r="F30" s="323">
        <v>8500000</v>
      </c>
      <c r="G30" s="324">
        <v>7651397</v>
      </c>
      <c r="H30" s="148">
        <v>7000000</v>
      </c>
      <c r="I30" s="140">
        <f>6391611+300000</f>
        <v>6691611</v>
      </c>
      <c r="J30" s="176">
        <v>6500000</v>
      </c>
      <c r="K30" s="315">
        <v>6004810</v>
      </c>
      <c r="L30" s="333">
        <v>4000000</v>
      </c>
      <c r="M30" s="316">
        <v>3742249</v>
      </c>
      <c r="N30" s="176">
        <v>4000000</v>
      </c>
      <c r="O30" s="140">
        <v>3715620</v>
      </c>
      <c r="P30" s="176">
        <v>3500000</v>
      </c>
      <c r="Q30" s="140">
        <v>3654320</v>
      </c>
    </row>
    <row r="31" spans="2:17" ht="18" customHeight="1">
      <c r="B31" s="258">
        <v>7</v>
      </c>
      <c r="C31" s="276" t="s">
        <v>279</v>
      </c>
      <c r="D31" s="330">
        <v>3500000</v>
      </c>
      <c r="E31" s="331">
        <f>519979+1239500</f>
        <v>1759479</v>
      </c>
      <c r="F31" s="281">
        <v>3000000</v>
      </c>
      <c r="G31" s="334">
        <v>3299093</v>
      </c>
      <c r="H31" s="148">
        <v>2200000</v>
      </c>
      <c r="I31" s="140">
        <f>416216+2476326</f>
        <v>2892542</v>
      </c>
      <c r="J31" s="176">
        <v>1300000</v>
      </c>
      <c r="K31" s="315">
        <f>399513+908247</f>
        <v>1307760</v>
      </c>
      <c r="L31" s="333">
        <v>1000000</v>
      </c>
      <c r="M31" s="316">
        <v>1699641</v>
      </c>
      <c r="N31" s="176">
        <v>875000</v>
      </c>
      <c r="O31" s="140">
        <f>862752-O18</f>
        <v>696702</v>
      </c>
      <c r="P31" s="176">
        <v>1700000</v>
      </c>
      <c r="Q31" s="140">
        <v>783743</v>
      </c>
    </row>
    <row r="32" spans="2:17" ht="18" customHeight="1">
      <c r="B32" s="258">
        <v>8</v>
      </c>
      <c r="C32" s="320" t="s">
        <v>280</v>
      </c>
      <c r="D32" s="335"/>
      <c r="E32" s="336"/>
      <c r="F32" s="337"/>
      <c r="G32" s="338"/>
      <c r="H32" s="147"/>
      <c r="I32" s="145"/>
      <c r="J32" s="139"/>
      <c r="K32" s="339"/>
      <c r="L32" s="307"/>
      <c r="M32" s="340"/>
      <c r="N32" s="139"/>
      <c r="O32" s="145"/>
      <c r="P32" s="139"/>
      <c r="Q32" s="145"/>
    </row>
    <row r="33" spans="2:17" ht="18" customHeight="1">
      <c r="B33" s="258"/>
      <c r="C33" s="341" t="s">
        <v>281</v>
      </c>
      <c r="D33" s="330">
        <v>2000000</v>
      </c>
      <c r="E33" s="331">
        <f>583681</f>
        <v>583681</v>
      </c>
      <c r="F33" s="323">
        <v>500000</v>
      </c>
      <c r="G33" s="324">
        <v>690287</v>
      </c>
      <c r="H33" s="148">
        <v>455000</v>
      </c>
      <c r="I33" s="140">
        <v>307931</v>
      </c>
      <c r="J33" s="342">
        <v>150000</v>
      </c>
      <c r="K33" s="315">
        <v>174702</v>
      </c>
      <c r="L33" s="333">
        <v>200000</v>
      </c>
      <c r="M33" s="316">
        <v>258599</v>
      </c>
      <c r="N33" s="176">
        <v>100000</v>
      </c>
      <c r="O33" s="140">
        <v>41035</v>
      </c>
      <c r="P33" s="176">
        <v>200000</v>
      </c>
      <c r="Q33" s="140">
        <v>193909</v>
      </c>
    </row>
    <row r="34" spans="2:17" ht="18" customHeight="1">
      <c r="B34" s="258"/>
      <c r="C34" s="341" t="s">
        <v>282</v>
      </c>
      <c r="D34" s="330">
        <v>1500000</v>
      </c>
      <c r="E34" s="331">
        <f>961000</f>
        <v>961000</v>
      </c>
      <c r="F34" s="323">
        <v>1000000</v>
      </c>
      <c r="G34" s="324">
        <v>1397840</v>
      </c>
      <c r="H34" s="148">
        <v>350000</v>
      </c>
      <c r="I34" s="140">
        <v>792716</v>
      </c>
      <c r="J34" s="342">
        <v>800000</v>
      </c>
      <c r="K34" s="315">
        <v>866500</v>
      </c>
      <c r="L34" s="333">
        <v>500000</v>
      </c>
      <c r="M34" s="316">
        <v>826350</v>
      </c>
      <c r="N34" s="176">
        <v>350000</v>
      </c>
      <c r="O34" s="140">
        <v>269750</v>
      </c>
      <c r="P34" s="176">
        <v>200000</v>
      </c>
      <c r="Q34" s="140">
        <v>194975</v>
      </c>
    </row>
    <row r="35" spans="2:17" ht="18" customHeight="1">
      <c r="B35" s="258"/>
      <c r="C35" s="341" t="s">
        <v>283</v>
      </c>
      <c r="D35" s="330">
        <v>1700000</v>
      </c>
      <c r="E35" s="331">
        <f>274685</f>
        <v>274685</v>
      </c>
      <c r="F35" s="323">
        <v>300000</v>
      </c>
      <c r="G35" s="324">
        <v>135035</v>
      </c>
      <c r="H35" s="148">
        <v>440000</v>
      </c>
      <c r="I35" s="140">
        <f>30246+804984</f>
        <v>835230</v>
      </c>
      <c r="J35" s="342">
        <v>150000</v>
      </c>
      <c r="K35" s="315">
        <v>128874</v>
      </c>
      <c r="L35" s="333">
        <v>100000</v>
      </c>
      <c r="M35" s="316">
        <f>154575-M36</f>
        <v>102575</v>
      </c>
      <c r="N35" s="176">
        <v>150000</v>
      </c>
      <c r="O35" s="140">
        <f>144700-O36</f>
        <v>101950</v>
      </c>
      <c r="P35" s="427">
        <v>1060000</v>
      </c>
      <c r="Q35" s="140">
        <f>785653</f>
        <v>785653</v>
      </c>
    </row>
    <row r="36" spans="2:17" ht="18" customHeight="1">
      <c r="B36" s="258"/>
      <c r="C36" s="341" t="s">
        <v>284</v>
      </c>
      <c r="D36" s="330">
        <v>1000000</v>
      </c>
      <c r="E36" s="331">
        <f>77000</f>
        <v>77000</v>
      </c>
      <c r="F36" s="323">
        <v>200000</v>
      </c>
      <c r="G36" s="324">
        <v>65000</v>
      </c>
      <c r="H36" s="148">
        <v>265000</v>
      </c>
      <c r="I36" s="140">
        <v>139500</v>
      </c>
      <c r="J36" s="342">
        <v>50000</v>
      </c>
      <c r="K36" s="315">
        <v>71000</v>
      </c>
      <c r="L36" s="333">
        <v>50000</v>
      </c>
      <c r="M36" s="316">
        <v>52000</v>
      </c>
      <c r="N36" s="176">
        <v>75000</v>
      </c>
      <c r="O36" s="140">
        <v>42750</v>
      </c>
      <c r="P36" s="428"/>
      <c r="Q36" s="140">
        <v>25000</v>
      </c>
    </row>
    <row r="37" spans="2:17" ht="18" customHeight="1">
      <c r="B37" s="258"/>
      <c r="C37" s="341" t="s">
        <v>285</v>
      </c>
      <c r="D37" s="330">
        <v>1000000</v>
      </c>
      <c r="E37" s="331">
        <f>599150</f>
        <v>599150</v>
      </c>
      <c r="F37" s="323">
        <v>50000</v>
      </c>
      <c r="G37" s="429">
        <f>571945+176051+132242</f>
        <v>880238</v>
      </c>
      <c r="H37" s="148">
        <v>220000</v>
      </c>
      <c r="I37" s="140">
        <v>359325</v>
      </c>
      <c r="J37" s="342">
        <v>50000</v>
      </c>
      <c r="K37" s="315">
        <v>43709</v>
      </c>
      <c r="L37" s="333">
        <v>50000</v>
      </c>
      <c r="M37" s="316">
        <v>10000</v>
      </c>
      <c r="N37" s="176">
        <v>100000</v>
      </c>
      <c r="O37" s="140">
        <v>61850</v>
      </c>
      <c r="P37" s="176">
        <v>150000</v>
      </c>
      <c r="Q37" s="140">
        <v>159826</v>
      </c>
    </row>
    <row r="38" spans="2:17" ht="18" customHeight="1">
      <c r="B38" s="258"/>
      <c r="C38" s="343" t="s">
        <v>286</v>
      </c>
      <c r="D38" s="330">
        <v>1000000</v>
      </c>
      <c r="E38" s="331">
        <f>655740</f>
        <v>655740</v>
      </c>
      <c r="F38" s="323">
        <v>200000</v>
      </c>
      <c r="G38" s="430"/>
      <c r="H38" s="148">
        <v>370000</v>
      </c>
      <c r="I38" s="344">
        <f>217462+119946</f>
        <v>337408</v>
      </c>
      <c r="J38" s="342">
        <v>150000</v>
      </c>
      <c r="K38" s="315">
        <v>153731</v>
      </c>
      <c r="L38" s="333">
        <v>300000</v>
      </c>
      <c r="M38" s="316">
        <v>365844</v>
      </c>
      <c r="N38" s="176">
        <v>300000</v>
      </c>
      <c r="O38" s="140">
        <v>269801</v>
      </c>
      <c r="P38" s="176">
        <v>520000</v>
      </c>
      <c r="Q38" s="140">
        <v>406764</v>
      </c>
    </row>
    <row r="39" spans="2:17" ht="18" customHeight="1">
      <c r="B39" s="258">
        <v>10</v>
      </c>
      <c r="C39" s="301" t="s">
        <v>287</v>
      </c>
      <c r="D39" s="345">
        <v>7500000</v>
      </c>
      <c r="E39" s="346">
        <f>3951447</f>
        <v>3951447</v>
      </c>
      <c r="F39" s="323">
        <v>7000000</v>
      </c>
      <c r="G39" s="344">
        <f>7904229+913223</f>
        <v>8817452</v>
      </c>
      <c r="H39" s="148">
        <v>5000000</v>
      </c>
      <c r="I39" s="140">
        <v>6557689</v>
      </c>
      <c r="J39" s="342">
        <v>4500000</v>
      </c>
      <c r="K39" s="325">
        <v>4405053</v>
      </c>
      <c r="L39" s="333">
        <v>4500000</v>
      </c>
      <c r="M39" s="316">
        <v>4884742</v>
      </c>
      <c r="N39" s="176">
        <v>3250000</v>
      </c>
      <c r="O39" s="140">
        <v>3208608</v>
      </c>
      <c r="P39" s="176">
        <v>1620000</v>
      </c>
      <c r="Q39" s="140">
        <v>3246864</v>
      </c>
    </row>
    <row r="40" spans="2:17" ht="18" customHeight="1" thickBot="1">
      <c r="B40" s="347">
        <v>11</v>
      </c>
      <c r="C40" s="284" t="s">
        <v>288</v>
      </c>
      <c r="D40" s="348">
        <v>30000000</v>
      </c>
      <c r="E40" s="349">
        <f>4836441+2539694+35041612+826736</f>
        <v>43244483</v>
      </c>
      <c r="F40" s="286">
        <v>31800000</v>
      </c>
      <c r="G40" s="287">
        <v>39231075</v>
      </c>
      <c r="H40" s="149">
        <v>32750000</v>
      </c>
      <c r="I40" s="288">
        <v>32104462</v>
      </c>
      <c r="J40" s="177">
        <v>25000000</v>
      </c>
      <c r="K40" s="350">
        <f>26972559</f>
        <v>26972559</v>
      </c>
      <c r="L40" s="351">
        <v>17500000</v>
      </c>
      <c r="M40" s="352">
        <v>16156112</v>
      </c>
      <c r="N40" s="177">
        <v>18600000</v>
      </c>
      <c r="O40" s="288">
        <v>18609674</v>
      </c>
      <c r="P40" s="177">
        <v>14000000</v>
      </c>
      <c r="Q40" s="288">
        <v>14618167</v>
      </c>
    </row>
    <row r="41" spans="2:17" ht="18" customHeight="1" thickBot="1">
      <c r="B41" s="353"/>
      <c r="C41" s="354" t="s">
        <v>269</v>
      </c>
      <c r="D41" s="291">
        <f>SUM(D23:D40)</f>
        <v>347432000</v>
      </c>
      <c r="E41" s="291">
        <f aca="true" t="shared" si="1" ref="E41:Q41">SUM(E22:E40)</f>
        <v>346743764</v>
      </c>
      <c r="F41" s="291">
        <f t="shared" si="1"/>
        <v>322620000</v>
      </c>
      <c r="G41" s="291">
        <f t="shared" si="1"/>
        <v>333954675</v>
      </c>
      <c r="H41" s="292">
        <f t="shared" si="1"/>
        <v>290457000</v>
      </c>
      <c r="I41" s="291">
        <f t="shared" si="1"/>
        <v>300486776</v>
      </c>
      <c r="J41" s="355">
        <f t="shared" si="1"/>
        <v>258200000</v>
      </c>
      <c r="K41" s="291">
        <f t="shared" si="1"/>
        <v>262347308</v>
      </c>
      <c r="L41" s="355">
        <f t="shared" si="1"/>
        <v>212600000</v>
      </c>
      <c r="M41" s="356">
        <f t="shared" si="1"/>
        <v>228223863</v>
      </c>
      <c r="N41" s="357">
        <f t="shared" si="1"/>
        <v>178800000</v>
      </c>
      <c r="O41" s="357">
        <f t="shared" si="1"/>
        <v>179723874</v>
      </c>
      <c r="P41" s="358">
        <f t="shared" si="1"/>
        <v>134110000</v>
      </c>
      <c r="Q41" s="358">
        <f t="shared" si="1"/>
        <v>144053499</v>
      </c>
    </row>
    <row r="42" spans="2:17" ht="18.75" customHeight="1" thickBot="1">
      <c r="B42" s="359"/>
      <c r="C42" s="360" t="s">
        <v>139</v>
      </c>
      <c r="D42" s="361">
        <f aca="true" t="shared" si="2" ref="D42:Q42">D41+D21</f>
        <v>391932000</v>
      </c>
      <c r="E42" s="361">
        <f t="shared" si="2"/>
        <v>395250045</v>
      </c>
      <c r="F42" s="361">
        <f t="shared" si="2"/>
        <v>349620000</v>
      </c>
      <c r="G42" s="361">
        <f t="shared" si="2"/>
        <v>368581057</v>
      </c>
      <c r="H42" s="361">
        <f t="shared" si="2"/>
        <v>312992000</v>
      </c>
      <c r="I42" s="361">
        <f t="shared" si="2"/>
        <v>340455241</v>
      </c>
      <c r="J42" s="362">
        <f t="shared" si="2"/>
        <v>292000000</v>
      </c>
      <c r="K42" s="362">
        <f t="shared" si="2"/>
        <v>302544680</v>
      </c>
      <c r="L42" s="362">
        <f t="shared" si="2"/>
        <v>230000000</v>
      </c>
      <c r="M42" s="362">
        <f t="shared" si="2"/>
        <v>264984740</v>
      </c>
      <c r="N42" s="362">
        <f t="shared" si="2"/>
        <v>195000000</v>
      </c>
      <c r="O42" s="362">
        <f t="shared" si="2"/>
        <v>197238727</v>
      </c>
      <c r="P42" s="362">
        <f t="shared" si="2"/>
        <v>161500000</v>
      </c>
      <c r="Q42" s="362">
        <f t="shared" si="2"/>
        <v>160680348</v>
      </c>
    </row>
  </sheetData>
  <sheetProtection/>
  <mergeCells count="26">
    <mergeCell ref="B7:Q7"/>
    <mergeCell ref="B8:Q8"/>
    <mergeCell ref="D11:E11"/>
    <mergeCell ref="F11:G11"/>
    <mergeCell ref="H11:I11"/>
    <mergeCell ref="J11:K11"/>
    <mergeCell ref="L11:M11"/>
    <mergeCell ref="N11:O11"/>
    <mergeCell ref="P11:Q11"/>
    <mergeCell ref="P24:P26"/>
    <mergeCell ref="D13:D16"/>
    <mergeCell ref="F13:F16"/>
    <mergeCell ref="H13:H16"/>
    <mergeCell ref="J13:J16"/>
    <mergeCell ref="L13:L16"/>
    <mergeCell ref="N13:N16"/>
    <mergeCell ref="P35:P36"/>
    <mergeCell ref="G37:G38"/>
    <mergeCell ref="P13:P16"/>
    <mergeCell ref="E17:E18"/>
    <mergeCell ref="D24:D26"/>
    <mergeCell ref="F24:F26"/>
    <mergeCell ref="H24:H26"/>
    <mergeCell ref="J24:J26"/>
    <mergeCell ref="L24:L26"/>
    <mergeCell ref="N24:N26"/>
  </mergeCells>
  <printOptions/>
  <pageMargins left="0.33" right="0.17" top="0.17" bottom="0.21" header="0.19" footer="0.17"/>
  <pageSetup horizontalDpi="600" verticalDpi="600" orientation="landscape" paperSize="9" scale="8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3:K83"/>
  <sheetViews>
    <sheetView zoomScalePageLayoutView="0" workbookViewId="0" topLeftCell="A1">
      <selection activeCell="K73" sqref="K73:K79"/>
    </sheetView>
  </sheetViews>
  <sheetFormatPr defaultColWidth="9.140625" defaultRowHeight="15"/>
  <cols>
    <col min="1" max="1" width="4.421875" style="0" customWidth="1"/>
    <col min="2" max="2" width="5.421875" style="0" customWidth="1"/>
    <col min="3" max="3" width="32.8515625" style="0" customWidth="1"/>
    <col min="4" max="4" width="10.8515625" style="0" customWidth="1"/>
    <col min="5" max="5" width="12.140625" style="0" customWidth="1"/>
    <col min="6" max="6" width="11.00390625" style="0" customWidth="1"/>
    <col min="7" max="8" width="10.28125" style="0" customWidth="1"/>
    <col min="9" max="9" width="10.140625" style="0" customWidth="1"/>
    <col min="10" max="10" width="10.28125" style="0" bestFit="1" customWidth="1"/>
    <col min="11" max="11" width="11.28125" style="0" bestFit="1" customWidth="1"/>
  </cols>
  <sheetData>
    <row r="3" spans="2:11" ht="15">
      <c r="B3" s="4"/>
      <c r="C3" s="138"/>
      <c r="D3" s="138"/>
      <c r="E3" s="138"/>
      <c r="F3" s="138"/>
      <c r="G3" s="138"/>
      <c r="H3" s="138"/>
      <c r="I3" s="138"/>
      <c r="J3" s="138"/>
      <c r="K3" s="138"/>
    </row>
    <row r="4" spans="2:11" ht="15" hidden="1">
      <c r="B4" s="4"/>
      <c r="C4" s="4" t="s">
        <v>118</v>
      </c>
      <c r="D4" s="4"/>
      <c r="E4" s="4"/>
      <c r="F4" s="4"/>
      <c r="G4" s="4"/>
      <c r="H4" s="4"/>
      <c r="I4" s="4"/>
      <c r="J4" s="4"/>
      <c r="K4" s="138"/>
    </row>
    <row r="5" spans="3:10" ht="15" hidden="1">
      <c r="C5" s="4" t="s">
        <v>119</v>
      </c>
      <c r="D5" s="4"/>
      <c r="E5" s="4"/>
      <c r="F5" s="4"/>
      <c r="G5" s="4"/>
      <c r="H5" s="4"/>
      <c r="I5" s="4"/>
      <c r="J5" s="4"/>
    </row>
    <row r="6" spans="3:11" ht="18" hidden="1">
      <c r="C6" s="474" t="s">
        <v>111</v>
      </c>
      <c r="D6" s="475"/>
      <c r="E6" s="475"/>
      <c r="F6" s="475"/>
      <c r="G6" s="475"/>
      <c r="H6" s="475"/>
      <c r="I6" s="475"/>
      <c r="J6" s="475"/>
      <c r="K6" s="475"/>
    </row>
    <row r="7" spans="3:11" ht="15.75" hidden="1">
      <c r="C7" s="476" t="s">
        <v>133</v>
      </c>
      <c r="D7" s="476"/>
      <c r="E7" s="476"/>
      <c r="F7" s="476"/>
      <c r="G7" s="476"/>
      <c r="H7" s="476"/>
      <c r="I7" s="476"/>
      <c r="J7" s="476"/>
      <c r="K7" s="476"/>
    </row>
    <row r="8" spans="3:11" ht="15" hidden="1">
      <c r="C8" s="471" t="s">
        <v>122</v>
      </c>
      <c r="D8" s="471"/>
      <c r="E8" s="471"/>
      <c r="F8" s="471"/>
      <c r="G8" s="471"/>
      <c r="H8" s="471"/>
      <c r="I8" s="471"/>
      <c r="J8" s="471"/>
      <c r="K8" s="471"/>
    </row>
    <row r="9" spans="2:11" ht="44.25" customHeight="1" hidden="1" thickBot="1">
      <c r="B9" s="193" t="s">
        <v>120</v>
      </c>
      <c r="C9" s="194" t="s">
        <v>112</v>
      </c>
      <c r="D9" s="206"/>
      <c r="E9" s="206"/>
      <c r="F9" s="206"/>
      <c r="G9" s="206"/>
      <c r="H9" s="206"/>
      <c r="I9" s="206"/>
      <c r="J9" s="206"/>
      <c r="K9" s="195" t="s">
        <v>36</v>
      </c>
    </row>
    <row r="10" spans="2:11" ht="15.75" customHeight="1" hidden="1" thickBot="1">
      <c r="B10" s="178"/>
      <c r="C10" s="180" t="s">
        <v>129</v>
      </c>
      <c r="D10" s="207"/>
      <c r="E10" s="207"/>
      <c r="F10" s="207"/>
      <c r="G10" s="207"/>
      <c r="H10" s="207"/>
      <c r="I10" s="207"/>
      <c r="J10" s="207"/>
      <c r="K10" s="214" t="s">
        <v>130</v>
      </c>
    </row>
    <row r="11" spans="2:11" ht="15" hidden="1">
      <c r="B11" s="179">
        <v>1</v>
      </c>
      <c r="C11" s="181" t="s">
        <v>89</v>
      </c>
      <c r="D11" s="208"/>
      <c r="E11" s="208"/>
      <c r="F11" s="208"/>
      <c r="G11" s="208"/>
      <c r="H11" s="208"/>
      <c r="I11" s="208"/>
      <c r="J11" s="208"/>
      <c r="K11" s="178"/>
    </row>
    <row r="12" spans="2:11" ht="15" hidden="1">
      <c r="B12" s="179">
        <v>2</v>
      </c>
      <c r="C12" s="181" t="s">
        <v>123</v>
      </c>
      <c r="D12" s="208"/>
      <c r="E12" s="208"/>
      <c r="F12" s="208"/>
      <c r="G12" s="208"/>
      <c r="H12" s="208"/>
      <c r="I12" s="208"/>
      <c r="J12" s="208"/>
      <c r="K12" s="186"/>
    </row>
    <row r="13" spans="2:11" ht="15" hidden="1">
      <c r="B13" s="179">
        <v>3</v>
      </c>
      <c r="C13" s="181" t="s">
        <v>113</v>
      </c>
      <c r="D13" s="208"/>
      <c r="E13" s="208"/>
      <c r="F13" s="208"/>
      <c r="G13" s="208"/>
      <c r="H13" s="208"/>
      <c r="I13" s="208"/>
      <c r="J13" s="208"/>
      <c r="K13" s="186"/>
    </row>
    <row r="14" spans="2:11" ht="15" hidden="1">
      <c r="B14" s="179">
        <v>4</v>
      </c>
      <c r="C14" s="181" t="s">
        <v>121</v>
      </c>
      <c r="D14" s="208"/>
      <c r="E14" s="208"/>
      <c r="F14" s="208"/>
      <c r="G14" s="208"/>
      <c r="H14" s="208"/>
      <c r="I14" s="208"/>
      <c r="J14" s="208"/>
      <c r="K14" s="186"/>
    </row>
    <row r="15" spans="2:11" ht="15" hidden="1">
      <c r="B15" s="179">
        <v>5</v>
      </c>
      <c r="C15" s="181" t="s">
        <v>92</v>
      </c>
      <c r="D15" s="208"/>
      <c r="E15" s="208"/>
      <c r="F15" s="208"/>
      <c r="G15" s="208"/>
      <c r="H15" s="208"/>
      <c r="I15" s="208"/>
      <c r="J15" s="208"/>
      <c r="K15" s="186">
        <v>100000</v>
      </c>
    </row>
    <row r="16" spans="2:11" ht="15" hidden="1">
      <c r="B16" s="179">
        <v>6</v>
      </c>
      <c r="C16" s="181" t="s">
        <v>29</v>
      </c>
      <c r="D16" s="208"/>
      <c r="E16" s="208"/>
      <c r="F16" s="208"/>
      <c r="G16" s="208"/>
      <c r="H16" s="208"/>
      <c r="I16" s="208"/>
      <c r="J16" s="208"/>
      <c r="K16" s="186"/>
    </row>
    <row r="17" spans="2:11" ht="15" hidden="1">
      <c r="B17" s="179"/>
      <c r="C17" s="182" t="s">
        <v>128</v>
      </c>
      <c r="D17" s="209"/>
      <c r="E17" s="209"/>
      <c r="F17" s="209"/>
      <c r="G17" s="209"/>
      <c r="H17" s="209"/>
      <c r="I17" s="209"/>
      <c r="J17" s="209"/>
      <c r="K17" s="186"/>
    </row>
    <row r="18" spans="2:11" ht="15" hidden="1">
      <c r="B18" s="179">
        <v>1</v>
      </c>
      <c r="C18" s="181" t="s">
        <v>127</v>
      </c>
      <c r="D18" s="208"/>
      <c r="E18" s="208"/>
      <c r="F18" s="208"/>
      <c r="G18" s="208"/>
      <c r="H18" s="208"/>
      <c r="I18" s="208"/>
      <c r="J18" s="208"/>
      <c r="K18" s="186">
        <v>20000</v>
      </c>
    </row>
    <row r="19" spans="2:11" ht="15" hidden="1">
      <c r="B19" s="179">
        <v>2</v>
      </c>
      <c r="C19" s="181" t="s">
        <v>132</v>
      </c>
      <c r="D19" s="208"/>
      <c r="E19" s="208"/>
      <c r="F19" s="208"/>
      <c r="G19" s="208"/>
      <c r="H19" s="208"/>
      <c r="I19" s="208"/>
      <c r="J19" s="208"/>
      <c r="K19" s="186">
        <v>50000</v>
      </c>
    </row>
    <row r="20" spans="2:11" ht="15" hidden="1">
      <c r="B20" s="179">
        <v>3</v>
      </c>
      <c r="C20" s="183" t="s">
        <v>114</v>
      </c>
      <c r="D20" s="210"/>
      <c r="E20" s="210"/>
      <c r="F20" s="210"/>
      <c r="G20" s="210"/>
      <c r="H20" s="210"/>
      <c r="I20" s="210"/>
      <c r="J20" s="210"/>
      <c r="K20" s="185">
        <v>1000000</v>
      </c>
    </row>
    <row r="21" spans="2:11" ht="15" hidden="1">
      <c r="B21" s="179">
        <v>4</v>
      </c>
      <c r="C21" s="183" t="s">
        <v>126</v>
      </c>
      <c r="D21" s="210"/>
      <c r="E21" s="210"/>
      <c r="F21" s="210"/>
      <c r="G21" s="210"/>
      <c r="H21" s="210"/>
      <c r="I21" s="210"/>
      <c r="J21" s="210"/>
      <c r="K21" s="185"/>
    </row>
    <row r="22" spans="2:11" ht="15" hidden="1">
      <c r="B22" s="179"/>
      <c r="C22" s="184" t="s">
        <v>125</v>
      </c>
      <c r="D22" s="211"/>
      <c r="E22" s="211"/>
      <c r="F22" s="211"/>
      <c r="G22" s="211"/>
      <c r="H22" s="211"/>
      <c r="I22" s="211"/>
      <c r="J22" s="211"/>
      <c r="K22" s="185"/>
    </row>
    <row r="23" spans="2:11" ht="15" hidden="1">
      <c r="B23" s="179">
        <v>5</v>
      </c>
      <c r="C23" s="183" t="s">
        <v>115</v>
      </c>
      <c r="D23" s="210"/>
      <c r="E23" s="210"/>
      <c r="F23" s="210"/>
      <c r="G23" s="210"/>
      <c r="H23" s="210"/>
      <c r="I23" s="210"/>
      <c r="J23" s="210"/>
      <c r="K23" s="185">
        <v>25000</v>
      </c>
    </row>
    <row r="24" spans="2:11" ht="15" hidden="1">
      <c r="B24" s="179">
        <v>6</v>
      </c>
      <c r="C24" s="183" t="s">
        <v>116</v>
      </c>
      <c r="D24" s="210"/>
      <c r="E24" s="210"/>
      <c r="F24" s="210"/>
      <c r="G24" s="210"/>
      <c r="H24" s="210"/>
      <c r="I24" s="210"/>
      <c r="J24" s="210"/>
      <c r="K24" s="185">
        <v>25000</v>
      </c>
    </row>
    <row r="25" spans="2:11" ht="15" hidden="1">
      <c r="B25" s="179">
        <v>7</v>
      </c>
      <c r="C25" s="183" t="s">
        <v>135</v>
      </c>
      <c r="D25" s="210"/>
      <c r="E25" s="210"/>
      <c r="F25" s="210"/>
      <c r="G25" s="210"/>
      <c r="H25" s="210"/>
      <c r="I25" s="210"/>
      <c r="J25" s="210"/>
      <c r="K25" s="185">
        <v>50000</v>
      </c>
    </row>
    <row r="26" spans="2:11" ht="15" hidden="1">
      <c r="B26" s="187">
        <v>8</v>
      </c>
      <c r="C26" s="188" t="s">
        <v>124</v>
      </c>
      <c r="D26" s="212"/>
      <c r="E26" s="212"/>
      <c r="F26" s="212"/>
      <c r="G26" s="212"/>
      <c r="H26" s="212"/>
      <c r="I26" s="212"/>
      <c r="J26" s="212"/>
      <c r="K26" s="189">
        <v>50000</v>
      </c>
    </row>
    <row r="27" spans="2:11" ht="15.75" hidden="1" thickBot="1">
      <c r="B27" s="190"/>
      <c r="C27" s="191" t="s">
        <v>117</v>
      </c>
      <c r="D27" s="213"/>
      <c r="E27" s="213"/>
      <c r="F27" s="213"/>
      <c r="G27" s="213"/>
      <c r="H27" s="213"/>
      <c r="I27" s="213"/>
      <c r="J27" s="213"/>
      <c r="K27" s="192">
        <f>SUM(K11:K26)</f>
        <v>1320000</v>
      </c>
    </row>
    <row r="28" spans="2:11" ht="15" hidden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5" hidden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5" hidden="1">
      <c r="B30" s="4"/>
      <c r="C30" s="142" t="s">
        <v>238</v>
      </c>
      <c r="D30" s="142"/>
      <c r="E30" s="142"/>
      <c r="F30" s="142"/>
      <c r="G30" s="142"/>
      <c r="H30" s="142"/>
      <c r="I30" s="142"/>
      <c r="J30" s="142"/>
      <c r="K30" s="138"/>
    </row>
    <row r="31" spans="2:11" ht="15" hidden="1">
      <c r="B31" s="4"/>
      <c r="C31" s="138"/>
      <c r="D31" s="138"/>
      <c r="E31" s="138"/>
      <c r="F31" s="138"/>
      <c r="G31" s="138"/>
      <c r="H31" s="138"/>
      <c r="I31" s="138"/>
      <c r="J31" s="138"/>
      <c r="K31" s="138"/>
    </row>
    <row r="32" spans="2:11" ht="15" hidden="1">
      <c r="B32" s="4"/>
      <c r="C32" s="4" t="s">
        <v>118</v>
      </c>
      <c r="D32" s="4"/>
      <c r="E32" s="4"/>
      <c r="F32" s="4"/>
      <c r="G32" s="4"/>
      <c r="H32" s="4"/>
      <c r="I32" s="4"/>
      <c r="J32" s="4"/>
      <c r="K32" s="138"/>
    </row>
    <row r="33" spans="3:10" ht="15" hidden="1">
      <c r="C33" s="4" t="s">
        <v>119</v>
      </c>
      <c r="D33" s="4"/>
      <c r="E33" s="4"/>
      <c r="F33" s="4"/>
      <c r="G33" s="4"/>
      <c r="H33" s="4"/>
      <c r="I33" s="4"/>
      <c r="J33" s="4"/>
    </row>
    <row r="34" spans="3:11" ht="18" hidden="1">
      <c r="C34" s="474" t="s">
        <v>111</v>
      </c>
      <c r="D34" s="475"/>
      <c r="E34" s="475"/>
      <c r="F34" s="475"/>
      <c r="G34" s="475"/>
      <c r="H34" s="475"/>
      <c r="I34" s="475"/>
      <c r="J34" s="475"/>
      <c r="K34" s="475"/>
    </row>
    <row r="35" spans="3:11" ht="15.75" hidden="1">
      <c r="C35" s="476" t="s">
        <v>134</v>
      </c>
      <c r="D35" s="476"/>
      <c r="E35" s="476"/>
      <c r="F35" s="476"/>
      <c r="G35" s="476"/>
      <c r="H35" s="476"/>
      <c r="I35" s="476"/>
      <c r="J35" s="476"/>
      <c r="K35" s="476"/>
    </row>
    <row r="36" spans="3:11" ht="15" hidden="1">
      <c r="C36" s="471" t="s">
        <v>122</v>
      </c>
      <c r="D36" s="471"/>
      <c r="E36" s="471"/>
      <c r="F36" s="471"/>
      <c r="G36" s="471"/>
      <c r="H36" s="471"/>
      <c r="I36" s="471"/>
      <c r="J36" s="471"/>
      <c r="K36" s="471"/>
    </row>
    <row r="37" spans="2:11" ht="42.75" customHeight="1" hidden="1" thickBot="1">
      <c r="B37" s="193" t="s">
        <v>120</v>
      </c>
      <c r="C37" s="194" t="s">
        <v>112</v>
      </c>
      <c r="D37" s="206"/>
      <c r="E37" s="206"/>
      <c r="F37" s="206"/>
      <c r="G37" s="206"/>
      <c r="H37" s="206"/>
      <c r="I37" s="206"/>
      <c r="J37" s="206"/>
      <c r="K37" s="195" t="s">
        <v>36</v>
      </c>
    </row>
    <row r="38" spans="2:11" ht="15.75" customHeight="1" hidden="1" thickBot="1">
      <c r="B38" s="178"/>
      <c r="C38" s="180" t="s">
        <v>129</v>
      </c>
      <c r="D38" s="207"/>
      <c r="E38" s="207"/>
      <c r="F38" s="207"/>
      <c r="G38" s="207"/>
      <c r="H38" s="207"/>
      <c r="I38" s="207"/>
      <c r="J38" s="207"/>
      <c r="K38" s="214" t="s">
        <v>130</v>
      </c>
    </row>
    <row r="39" spans="2:11" ht="17.25" customHeight="1" hidden="1">
      <c r="B39" s="179">
        <v>1</v>
      </c>
      <c r="C39" s="181" t="s">
        <v>89</v>
      </c>
      <c r="D39" s="208"/>
      <c r="E39" s="208"/>
      <c r="F39" s="208"/>
      <c r="G39" s="208"/>
      <c r="H39" s="208"/>
      <c r="I39" s="208"/>
      <c r="J39" s="208"/>
      <c r="K39" s="178">
        <v>15000000</v>
      </c>
    </row>
    <row r="40" spans="2:11" ht="15" hidden="1">
      <c r="B40" s="179">
        <v>2</v>
      </c>
      <c r="C40" s="181" t="s">
        <v>123</v>
      </c>
      <c r="D40" s="208"/>
      <c r="E40" s="208"/>
      <c r="F40" s="208"/>
      <c r="G40" s="208"/>
      <c r="H40" s="208"/>
      <c r="I40" s="208"/>
      <c r="J40" s="208"/>
      <c r="K40" s="186">
        <v>1300000</v>
      </c>
    </row>
    <row r="41" spans="2:11" ht="15" hidden="1">
      <c r="B41" s="179">
        <v>3</v>
      </c>
      <c r="C41" s="181" t="s">
        <v>113</v>
      </c>
      <c r="D41" s="208"/>
      <c r="E41" s="208"/>
      <c r="F41" s="208"/>
      <c r="G41" s="208"/>
      <c r="H41" s="208"/>
      <c r="I41" s="208"/>
      <c r="J41" s="208"/>
      <c r="K41" s="186">
        <v>1500000</v>
      </c>
    </row>
    <row r="42" spans="2:11" ht="15" hidden="1">
      <c r="B42" s="179">
        <v>4</v>
      </c>
      <c r="C42" s="181" t="s">
        <v>121</v>
      </c>
      <c r="D42" s="208"/>
      <c r="E42" s="208"/>
      <c r="F42" s="208"/>
      <c r="G42" s="208"/>
      <c r="H42" s="208"/>
      <c r="I42" s="208"/>
      <c r="J42" s="208"/>
      <c r="K42" s="186">
        <v>100000</v>
      </c>
    </row>
    <row r="43" spans="2:11" ht="15" hidden="1">
      <c r="B43" s="179">
        <v>5</v>
      </c>
      <c r="C43" s="181" t="s">
        <v>92</v>
      </c>
      <c r="D43" s="208"/>
      <c r="E43" s="208"/>
      <c r="F43" s="208"/>
      <c r="G43" s="208"/>
      <c r="H43" s="208"/>
      <c r="I43" s="208"/>
      <c r="J43" s="208"/>
      <c r="K43" s="186"/>
    </row>
    <row r="44" spans="2:11" ht="15" hidden="1">
      <c r="B44" s="179">
        <v>6</v>
      </c>
      <c r="C44" s="181" t="s">
        <v>29</v>
      </c>
      <c r="D44" s="208"/>
      <c r="E44" s="208"/>
      <c r="F44" s="208"/>
      <c r="G44" s="208"/>
      <c r="H44" s="208"/>
      <c r="I44" s="208"/>
      <c r="J44" s="208"/>
      <c r="K44" s="186"/>
    </row>
    <row r="45" spans="2:11" ht="15" hidden="1">
      <c r="B45" s="179"/>
      <c r="C45" s="182" t="s">
        <v>128</v>
      </c>
      <c r="D45" s="209"/>
      <c r="E45" s="209"/>
      <c r="F45" s="209"/>
      <c r="G45" s="209"/>
      <c r="H45" s="209"/>
      <c r="I45" s="209"/>
      <c r="J45" s="209"/>
      <c r="K45" s="186"/>
    </row>
    <row r="46" spans="2:11" ht="15" hidden="1">
      <c r="B46" s="179">
        <v>1</v>
      </c>
      <c r="C46" s="181" t="s">
        <v>136</v>
      </c>
      <c r="D46" s="208"/>
      <c r="E46" s="208"/>
      <c r="F46" s="208"/>
      <c r="G46" s="208"/>
      <c r="H46" s="208"/>
      <c r="I46" s="208"/>
      <c r="J46" s="208"/>
      <c r="K46" s="186">
        <v>25900000</v>
      </c>
    </row>
    <row r="47" spans="2:11" ht="15" hidden="1">
      <c r="B47" s="179">
        <v>2</v>
      </c>
      <c r="C47" s="181" t="s">
        <v>132</v>
      </c>
      <c r="D47" s="208"/>
      <c r="E47" s="208"/>
      <c r="F47" s="208"/>
      <c r="G47" s="208"/>
      <c r="H47" s="208"/>
      <c r="I47" s="208"/>
      <c r="J47" s="208"/>
      <c r="K47" s="186">
        <v>200000</v>
      </c>
    </row>
    <row r="48" spans="2:11" ht="15" hidden="1">
      <c r="B48" s="179">
        <v>3</v>
      </c>
      <c r="C48" s="183" t="s">
        <v>114</v>
      </c>
      <c r="D48" s="210"/>
      <c r="E48" s="210"/>
      <c r="F48" s="210"/>
      <c r="G48" s="210"/>
      <c r="H48" s="210"/>
      <c r="I48" s="210"/>
      <c r="J48" s="210"/>
      <c r="K48" s="185"/>
    </row>
    <row r="49" spans="2:11" ht="15" hidden="1">
      <c r="B49" s="179">
        <v>4</v>
      </c>
      <c r="C49" s="183" t="s">
        <v>126</v>
      </c>
      <c r="D49" s="210"/>
      <c r="E49" s="210"/>
      <c r="F49" s="210"/>
      <c r="G49" s="210"/>
      <c r="H49" s="210"/>
      <c r="I49" s="210"/>
      <c r="J49" s="210"/>
      <c r="K49" s="185"/>
    </row>
    <row r="50" spans="2:11" ht="15" hidden="1">
      <c r="B50" s="179"/>
      <c r="C50" s="184" t="s">
        <v>125</v>
      </c>
      <c r="D50" s="211"/>
      <c r="E50" s="211"/>
      <c r="F50" s="211"/>
      <c r="G50" s="211"/>
      <c r="H50" s="211"/>
      <c r="I50" s="211"/>
      <c r="J50" s="211"/>
      <c r="K50" s="185"/>
    </row>
    <row r="51" spans="2:11" ht="15" hidden="1">
      <c r="B51" s="179">
        <v>5</v>
      </c>
      <c r="C51" s="183" t="s">
        <v>115</v>
      </c>
      <c r="D51" s="210"/>
      <c r="E51" s="210"/>
      <c r="F51" s="210"/>
      <c r="G51" s="210"/>
      <c r="H51" s="210"/>
      <c r="I51" s="210"/>
      <c r="J51" s="210"/>
      <c r="K51" s="185"/>
    </row>
    <row r="52" spans="2:11" ht="15" hidden="1">
      <c r="B52" s="179">
        <v>6</v>
      </c>
      <c r="C52" s="183" t="s">
        <v>116</v>
      </c>
      <c r="D52" s="210"/>
      <c r="E52" s="210"/>
      <c r="F52" s="210"/>
      <c r="G52" s="210"/>
      <c r="H52" s="210"/>
      <c r="I52" s="210"/>
      <c r="J52" s="210"/>
      <c r="K52" s="185"/>
    </row>
    <row r="53" spans="2:11" ht="15" hidden="1">
      <c r="B53" s="179">
        <v>7</v>
      </c>
      <c r="C53" s="183" t="s">
        <v>135</v>
      </c>
      <c r="D53" s="210"/>
      <c r="E53" s="210"/>
      <c r="F53" s="210"/>
      <c r="G53" s="210"/>
      <c r="H53" s="210"/>
      <c r="I53" s="210"/>
      <c r="J53" s="210"/>
      <c r="K53" s="185"/>
    </row>
    <row r="54" spans="2:11" ht="15" hidden="1">
      <c r="B54" s="187">
        <v>8</v>
      </c>
      <c r="C54" s="188" t="s">
        <v>124</v>
      </c>
      <c r="D54" s="212"/>
      <c r="E54" s="212"/>
      <c r="F54" s="212"/>
      <c r="G54" s="212"/>
      <c r="H54" s="212"/>
      <c r="I54" s="212"/>
      <c r="J54" s="212"/>
      <c r="K54" s="189">
        <v>500000</v>
      </c>
    </row>
    <row r="55" spans="2:11" ht="15.75" hidden="1" thickBot="1">
      <c r="B55" s="190"/>
      <c r="C55" s="191" t="s">
        <v>117</v>
      </c>
      <c r="D55" s="213"/>
      <c r="E55" s="213"/>
      <c r="F55" s="213"/>
      <c r="G55" s="213"/>
      <c r="H55" s="213"/>
      <c r="I55" s="213"/>
      <c r="J55" s="213"/>
      <c r="K55" s="192">
        <f>SUM(K39:K54)</f>
        <v>44500000</v>
      </c>
    </row>
    <row r="56" spans="2:11" ht="15" hidden="1">
      <c r="B56" s="141"/>
      <c r="C56" s="141"/>
      <c r="D56" s="141"/>
      <c r="E56" s="141"/>
      <c r="F56" s="141"/>
      <c r="G56" s="141"/>
      <c r="H56" s="141"/>
      <c r="I56" s="141"/>
      <c r="J56" s="141"/>
      <c r="K56" s="141"/>
    </row>
    <row r="57" spans="2:11" ht="15" hidden="1">
      <c r="B57" s="141"/>
      <c r="C57" s="141"/>
      <c r="D57" s="141"/>
      <c r="E57" s="141"/>
      <c r="F57" s="141"/>
      <c r="G57" s="141"/>
      <c r="H57" s="141"/>
      <c r="I57" s="141"/>
      <c r="J57" s="141"/>
      <c r="K57" s="141"/>
    </row>
    <row r="58" spans="2:11" ht="15" hidden="1">
      <c r="B58" s="141"/>
      <c r="C58" s="142" t="s">
        <v>238</v>
      </c>
      <c r="D58" s="142"/>
      <c r="E58" s="142"/>
      <c r="F58" s="142"/>
      <c r="G58" s="142"/>
      <c r="H58" s="142"/>
      <c r="I58" s="142"/>
      <c r="J58" s="142"/>
      <c r="K58" s="142"/>
    </row>
    <row r="59" spans="2:11" ht="15">
      <c r="B59" s="141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2:11" ht="15">
      <c r="B60" s="141"/>
      <c r="C60" s="138" t="s">
        <v>118</v>
      </c>
      <c r="D60" s="138"/>
      <c r="E60" s="138"/>
      <c r="F60" s="4"/>
      <c r="G60" s="4"/>
      <c r="H60" s="4"/>
      <c r="I60" s="4"/>
      <c r="J60" s="4"/>
      <c r="K60" s="4"/>
    </row>
    <row r="61" spans="3:11" ht="15">
      <c r="C61" s="138" t="s">
        <v>119</v>
      </c>
      <c r="D61" s="138"/>
      <c r="E61" s="138"/>
      <c r="F61" s="4"/>
      <c r="G61" s="4"/>
      <c r="H61" s="4"/>
      <c r="I61" s="4"/>
      <c r="J61" s="4"/>
      <c r="K61" s="4"/>
    </row>
    <row r="62" spans="3:11" ht="18">
      <c r="C62" s="474" t="s">
        <v>111</v>
      </c>
      <c r="D62" s="475"/>
      <c r="E62" s="475"/>
      <c r="F62" s="475"/>
      <c r="G62" s="475"/>
      <c r="H62" s="475"/>
      <c r="I62" s="475"/>
      <c r="J62" s="475"/>
      <c r="K62" s="475"/>
    </row>
    <row r="63" spans="3:11" ht="15.75">
      <c r="C63" s="476" t="s">
        <v>153</v>
      </c>
      <c r="D63" s="476"/>
      <c r="E63" s="476"/>
      <c r="F63" s="476"/>
      <c r="G63" s="476"/>
      <c r="H63" s="476"/>
      <c r="I63" s="476"/>
      <c r="J63" s="476"/>
      <c r="K63" s="476"/>
    </row>
    <row r="64" spans="3:11" ht="15.75" thickBot="1">
      <c r="C64" s="471" t="s">
        <v>122</v>
      </c>
      <c r="D64" s="471"/>
      <c r="E64" s="471"/>
      <c r="F64" s="471"/>
      <c r="G64" s="471"/>
      <c r="H64" s="471"/>
      <c r="I64" s="471"/>
      <c r="J64" s="471"/>
      <c r="K64" s="471"/>
    </row>
    <row r="65" spans="2:11" ht="51" customHeight="1" thickBot="1">
      <c r="B65" s="193" t="s">
        <v>120</v>
      </c>
      <c r="C65" s="194" t="s">
        <v>112</v>
      </c>
      <c r="D65" s="215" t="s">
        <v>239</v>
      </c>
      <c r="E65" s="196" t="s">
        <v>247</v>
      </c>
      <c r="F65" s="215" t="s">
        <v>239</v>
      </c>
      <c r="G65" s="196" t="s">
        <v>247</v>
      </c>
      <c r="H65" s="215" t="s">
        <v>239</v>
      </c>
      <c r="I65" s="196" t="s">
        <v>247</v>
      </c>
      <c r="J65" s="215" t="s">
        <v>239</v>
      </c>
      <c r="K65" s="196" t="s">
        <v>247</v>
      </c>
    </row>
    <row r="66" spans="2:11" ht="15.75" thickBot="1">
      <c r="B66" s="178"/>
      <c r="C66" s="180" t="s">
        <v>129</v>
      </c>
      <c r="D66" s="472" t="s">
        <v>241</v>
      </c>
      <c r="E66" s="473"/>
      <c r="F66" s="472" t="s">
        <v>242</v>
      </c>
      <c r="G66" s="473"/>
      <c r="H66" s="472" t="s">
        <v>243</v>
      </c>
      <c r="I66" s="473"/>
      <c r="J66" s="472" t="s">
        <v>244</v>
      </c>
      <c r="K66" s="473"/>
    </row>
    <row r="67" spans="2:11" ht="15">
      <c r="B67" s="179">
        <v>3</v>
      </c>
      <c r="C67" s="181" t="s">
        <v>113</v>
      </c>
      <c r="D67" s="467">
        <v>400000</v>
      </c>
      <c r="E67" s="469">
        <v>119000</v>
      </c>
      <c r="F67" s="467">
        <f>600000-F70</f>
        <v>400000</v>
      </c>
      <c r="G67" s="469">
        <v>41737</v>
      </c>
      <c r="H67" s="467">
        <f>5000000-H70</f>
        <v>4700000</v>
      </c>
      <c r="I67" s="469">
        <v>1047125</v>
      </c>
      <c r="J67" s="467">
        <f>4500000-J70</f>
        <v>4350000</v>
      </c>
      <c r="K67" s="469">
        <v>4339222</v>
      </c>
    </row>
    <row r="68" spans="2:11" ht="15">
      <c r="B68" s="179">
        <v>4</v>
      </c>
      <c r="C68" s="181" t="s">
        <v>121</v>
      </c>
      <c r="D68" s="468"/>
      <c r="E68" s="470"/>
      <c r="F68" s="468"/>
      <c r="G68" s="470"/>
      <c r="H68" s="468"/>
      <c r="I68" s="470"/>
      <c r="J68" s="468"/>
      <c r="K68" s="470"/>
    </row>
    <row r="69" spans="2:11" ht="15">
      <c r="B69" s="179">
        <v>5</v>
      </c>
      <c r="C69" s="181" t="s">
        <v>92</v>
      </c>
      <c r="D69" s="216">
        <v>300000</v>
      </c>
      <c r="E69" s="217">
        <v>240000</v>
      </c>
      <c r="F69" s="216">
        <v>300000</v>
      </c>
      <c r="G69" s="217">
        <v>287648</v>
      </c>
      <c r="H69" s="216">
        <v>300000</v>
      </c>
      <c r="I69" s="217">
        <v>409465</v>
      </c>
      <c r="J69" s="218">
        <v>325000</v>
      </c>
      <c r="K69" s="219">
        <f>157345+72690+79188</f>
        <v>309223</v>
      </c>
    </row>
    <row r="70" spans="2:11" ht="15">
      <c r="B70" s="179">
        <v>6</v>
      </c>
      <c r="C70" s="181" t="s">
        <v>29</v>
      </c>
      <c r="D70" s="216">
        <v>250000</v>
      </c>
      <c r="E70" s="217"/>
      <c r="F70" s="220">
        <v>200000</v>
      </c>
      <c r="G70" s="221"/>
      <c r="H70" s="220">
        <v>300000</v>
      </c>
      <c r="I70" s="221"/>
      <c r="J70" s="218">
        <v>150000</v>
      </c>
      <c r="K70" s="219"/>
    </row>
    <row r="71" spans="2:11" ht="15">
      <c r="B71" s="179"/>
      <c r="C71" s="181"/>
      <c r="D71" s="222"/>
      <c r="E71" s="223"/>
      <c r="F71" s="224"/>
      <c r="G71" s="221"/>
      <c r="H71" s="224"/>
      <c r="I71" s="221"/>
      <c r="J71" s="225"/>
      <c r="K71" s="226"/>
    </row>
    <row r="72" spans="2:11" ht="15">
      <c r="B72" s="179"/>
      <c r="C72" s="182" t="s">
        <v>128</v>
      </c>
      <c r="D72" s="216"/>
      <c r="E72" s="227"/>
      <c r="F72" s="222"/>
      <c r="G72" s="223"/>
      <c r="H72" s="222"/>
      <c r="I72" s="223"/>
      <c r="J72" s="218"/>
      <c r="K72" s="219"/>
    </row>
    <row r="73" spans="2:11" ht="18.75" customHeight="1">
      <c r="B73" s="179">
        <v>1</v>
      </c>
      <c r="C73" s="181" t="s">
        <v>127</v>
      </c>
      <c r="D73" s="228">
        <v>200000</v>
      </c>
      <c r="E73" s="229">
        <v>177000</v>
      </c>
      <c r="F73" s="216">
        <v>150000</v>
      </c>
      <c r="G73" s="227">
        <f>358838+98468</f>
        <v>457306</v>
      </c>
      <c r="H73" s="216">
        <v>75000</v>
      </c>
      <c r="I73" s="217">
        <f>101207</f>
        <v>101207</v>
      </c>
      <c r="J73" s="218">
        <v>50000</v>
      </c>
      <c r="K73" s="219">
        <f>24488</f>
        <v>24488</v>
      </c>
    </row>
    <row r="74" spans="2:11" ht="15">
      <c r="B74" s="179">
        <v>3</v>
      </c>
      <c r="C74" s="183" t="s">
        <v>114</v>
      </c>
      <c r="D74" s="230">
        <v>700000</v>
      </c>
      <c r="E74" s="231">
        <v>501000</v>
      </c>
      <c r="F74" s="228">
        <v>200000</v>
      </c>
      <c r="G74" s="229">
        <v>1335980</v>
      </c>
      <c r="H74" s="228">
        <v>200000</v>
      </c>
      <c r="I74" s="229">
        <v>728632</v>
      </c>
      <c r="J74" s="232">
        <v>200000</v>
      </c>
      <c r="K74" s="231">
        <v>293673</v>
      </c>
    </row>
    <row r="75" spans="2:11" ht="15">
      <c r="B75" s="179"/>
      <c r="C75" s="183" t="s">
        <v>126</v>
      </c>
      <c r="D75" s="233"/>
      <c r="E75" s="234"/>
      <c r="F75" s="235"/>
      <c r="G75" s="236"/>
      <c r="H75" s="235"/>
      <c r="I75" s="236"/>
      <c r="J75" s="237"/>
      <c r="K75" s="238"/>
    </row>
    <row r="76" spans="2:11" ht="15">
      <c r="B76" s="179"/>
      <c r="C76" s="184" t="s">
        <v>125</v>
      </c>
      <c r="D76" s="228"/>
      <c r="E76" s="239"/>
      <c r="F76" s="233"/>
      <c r="G76" s="234"/>
      <c r="H76" s="233"/>
      <c r="I76" s="234"/>
      <c r="J76" s="232"/>
      <c r="K76" s="231"/>
    </row>
    <row r="77" spans="2:11" ht="18" customHeight="1">
      <c r="B77" s="179">
        <v>5</v>
      </c>
      <c r="C77" s="183" t="s">
        <v>115</v>
      </c>
      <c r="D77" s="463">
        <f>450000+300000+150000</f>
        <v>900000</v>
      </c>
      <c r="E77" s="465">
        <f>69000+8000</f>
        <v>77000</v>
      </c>
      <c r="F77" s="230">
        <v>200000</v>
      </c>
      <c r="G77" s="465">
        <f>21573+18000+145000+12000</f>
        <v>196573</v>
      </c>
      <c r="H77" s="230">
        <v>100000</v>
      </c>
      <c r="I77" s="465">
        <f>2012+108000</f>
        <v>110012</v>
      </c>
      <c r="J77" s="232">
        <v>50000</v>
      </c>
      <c r="K77" s="231">
        <f>4500+59000</f>
        <v>63500</v>
      </c>
    </row>
    <row r="78" spans="2:11" ht="26.25">
      <c r="B78" s="179">
        <v>6</v>
      </c>
      <c r="C78" s="183" t="s">
        <v>245</v>
      </c>
      <c r="D78" s="464"/>
      <c r="E78" s="466"/>
      <c r="F78" s="230">
        <v>70000</v>
      </c>
      <c r="G78" s="466"/>
      <c r="H78" s="230">
        <v>75000</v>
      </c>
      <c r="I78" s="466"/>
      <c r="J78" s="232">
        <v>50000</v>
      </c>
      <c r="K78" s="231">
        <f>26600</f>
        <v>26600</v>
      </c>
    </row>
    <row r="79" spans="2:11" ht="27" thickBot="1">
      <c r="B79" s="179">
        <v>7</v>
      </c>
      <c r="C79" s="183" t="s">
        <v>246</v>
      </c>
      <c r="D79" s="240">
        <v>125000</v>
      </c>
      <c r="E79" s="241">
        <v>157000</v>
      </c>
      <c r="F79" s="242">
        <v>20000</v>
      </c>
      <c r="G79" s="243">
        <v>3500</v>
      </c>
      <c r="H79" s="242">
        <v>25000</v>
      </c>
      <c r="I79" s="243">
        <v>19400</v>
      </c>
      <c r="J79" s="244"/>
      <c r="K79" s="245"/>
    </row>
    <row r="80" spans="2:11" ht="15.75" thickBot="1">
      <c r="B80" s="190"/>
      <c r="C80" s="191" t="s">
        <v>117</v>
      </c>
      <c r="D80" s="246">
        <f>SUM(D67:D79)</f>
        <v>2875000</v>
      </c>
      <c r="E80" s="246">
        <f>SUM(E67:E79)</f>
        <v>1271000</v>
      </c>
      <c r="F80" s="246">
        <f aca="true" t="shared" si="0" ref="F80:K80">SUM(F67:F79)</f>
        <v>1540000</v>
      </c>
      <c r="G80" s="246">
        <f t="shared" si="0"/>
        <v>2322744</v>
      </c>
      <c r="H80" s="246">
        <f t="shared" si="0"/>
        <v>5775000</v>
      </c>
      <c r="I80" s="246">
        <f t="shared" si="0"/>
        <v>2415841</v>
      </c>
      <c r="J80" s="246">
        <f t="shared" si="0"/>
        <v>5175000</v>
      </c>
      <c r="K80" s="246">
        <f t="shared" si="0"/>
        <v>5056706</v>
      </c>
    </row>
    <row r="81" spans="2:11" ht="15">
      <c r="B81" s="141"/>
      <c r="C81" s="141"/>
      <c r="D81" s="141"/>
      <c r="E81" s="141"/>
      <c r="F81" s="141"/>
      <c r="G81" s="141"/>
      <c r="H81" s="141"/>
      <c r="I81" s="141"/>
      <c r="J81" s="141"/>
      <c r="K81" s="141"/>
    </row>
    <row r="82" spans="2:11" ht="15">
      <c r="B82" s="141"/>
      <c r="C82" s="141"/>
      <c r="D82" s="141"/>
      <c r="E82" s="141"/>
      <c r="F82" s="141"/>
      <c r="G82" s="141"/>
      <c r="H82" s="141"/>
      <c r="I82" s="141"/>
      <c r="J82" s="141"/>
      <c r="K82" s="141"/>
    </row>
    <row r="83" spans="2:11" ht="15">
      <c r="B83" s="141"/>
      <c r="C83" s="142" t="s">
        <v>238</v>
      </c>
      <c r="D83" s="142"/>
      <c r="E83" s="142"/>
      <c r="F83" s="142"/>
      <c r="G83" s="142"/>
      <c r="H83" s="142"/>
      <c r="I83" s="142"/>
      <c r="J83" s="142"/>
      <c r="K83" s="142"/>
    </row>
  </sheetData>
  <sheetProtection/>
  <mergeCells count="25">
    <mergeCell ref="C34:K34"/>
    <mergeCell ref="C35:K35"/>
    <mergeCell ref="C36:K36"/>
    <mergeCell ref="C62:K62"/>
    <mergeCell ref="C63:K63"/>
    <mergeCell ref="C6:K6"/>
    <mergeCell ref="C7:K7"/>
    <mergeCell ref="C8:K8"/>
    <mergeCell ref="J67:J68"/>
    <mergeCell ref="K67:K68"/>
    <mergeCell ref="C64:K64"/>
    <mergeCell ref="D66:E66"/>
    <mergeCell ref="F66:G66"/>
    <mergeCell ref="H66:I66"/>
    <mergeCell ref="J66:K66"/>
    <mergeCell ref="D77:D78"/>
    <mergeCell ref="E77:E78"/>
    <mergeCell ref="G77:G78"/>
    <mergeCell ref="I77:I78"/>
    <mergeCell ref="D67:D68"/>
    <mergeCell ref="E67:E68"/>
    <mergeCell ref="F67:F68"/>
    <mergeCell ref="G67:G68"/>
    <mergeCell ref="H67:H68"/>
    <mergeCell ref="I67:I68"/>
  </mergeCells>
  <printOptions/>
  <pageMargins left="0.52" right="0.19" top="0.39" bottom="0.35" header="0.17" footer="0.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H16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0.57421875" style="0" customWidth="1"/>
    <col min="2" max="2" width="38.28125" style="0" customWidth="1"/>
    <col min="3" max="3" width="5.421875" style="0" customWidth="1"/>
    <col min="4" max="4" width="12.421875" style="0" customWidth="1"/>
    <col min="5" max="7" width="13.28125" style="0" bestFit="1" customWidth="1"/>
    <col min="8" max="8" width="14.140625" style="0" customWidth="1"/>
  </cols>
  <sheetData>
    <row r="4" spans="1:6" ht="15.75">
      <c r="A4" s="173" t="s">
        <v>150</v>
      </c>
      <c r="B4" s="173" t="s">
        <v>152</v>
      </c>
      <c r="C4" s="174"/>
      <c r="D4" s="174"/>
      <c r="E4" s="174"/>
      <c r="F4" s="174"/>
    </row>
    <row r="5" ht="15.75" thickBot="1"/>
    <row r="6" spans="1:8" ht="45" customHeight="1" thickBot="1">
      <c r="A6" s="166" t="s">
        <v>148</v>
      </c>
      <c r="B6" s="160" t="s">
        <v>142</v>
      </c>
      <c r="C6" s="161"/>
      <c r="D6" s="167" t="s">
        <v>146</v>
      </c>
      <c r="E6" s="160" t="s">
        <v>147</v>
      </c>
      <c r="F6" s="160" t="s">
        <v>138</v>
      </c>
      <c r="G6" s="160" t="s">
        <v>137</v>
      </c>
      <c r="H6" s="175" t="s">
        <v>149</v>
      </c>
    </row>
    <row r="7" spans="1:8" ht="24" customHeight="1">
      <c r="A7" s="162">
        <v>1</v>
      </c>
      <c r="B7" s="163" t="s">
        <v>143</v>
      </c>
      <c r="C7" s="164"/>
      <c r="D7" s="165">
        <f>3352366+10000+3203129+5913576+7217483+11720500</f>
        <v>31417054</v>
      </c>
      <c r="E7" s="165">
        <f>11409030+12182879+7978001+1134259</f>
        <v>32704169</v>
      </c>
      <c r="F7" s="165">
        <f>3688859+18120120+244944+2107919</f>
        <v>24161842</v>
      </c>
      <c r="G7" s="165">
        <f>18170951+6538200+1028957</f>
        <v>25738108</v>
      </c>
      <c r="H7" s="169">
        <f>1644000+3300000+1725835</f>
        <v>6669835</v>
      </c>
    </row>
    <row r="8" spans="1:8" ht="18" customHeight="1">
      <c r="A8" s="153"/>
      <c r="B8" s="152"/>
      <c r="C8" s="151"/>
      <c r="D8" s="151"/>
      <c r="E8" s="151"/>
      <c r="F8" s="151"/>
      <c r="G8" s="151"/>
      <c r="H8" s="154"/>
    </row>
    <row r="9" spans="1:8" ht="22.5" customHeight="1">
      <c r="A9" s="153">
        <v>2</v>
      </c>
      <c r="B9" s="152" t="s">
        <v>144</v>
      </c>
      <c r="C9" s="151"/>
      <c r="D9" s="170">
        <v>4879374</v>
      </c>
      <c r="E9" s="170">
        <v>3222019</v>
      </c>
      <c r="F9" s="170">
        <v>2061772</v>
      </c>
      <c r="G9" s="170">
        <v>1023764</v>
      </c>
      <c r="H9" s="171">
        <v>922086</v>
      </c>
    </row>
    <row r="10" spans="1:8" ht="18" customHeight="1">
      <c r="A10" s="153"/>
      <c r="B10" s="152"/>
      <c r="C10" s="151"/>
      <c r="D10" s="170"/>
      <c r="E10" s="170"/>
      <c r="F10" s="170"/>
      <c r="G10" s="170"/>
      <c r="H10" s="171"/>
    </row>
    <row r="11" spans="1:8" ht="21.75" customHeight="1">
      <c r="A11" s="153">
        <v>3</v>
      </c>
      <c r="B11" s="152" t="s">
        <v>145</v>
      </c>
      <c r="C11" s="151"/>
      <c r="D11" s="170">
        <v>15141187</v>
      </c>
      <c r="E11" s="170">
        <v>5080581</v>
      </c>
      <c r="F11" s="170">
        <v>5427413</v>
      </c>
      <c r="G11" s="170">
        <f>3874787</f>
        <v>3874787</v>
      </c>
      <c r="H11" s="171">
        <v>8058468</v>
      </c>
    </row>
    <row r="12" spans="1:8" ht="18" customHeight="1">
      <c r="A12" s="153"/>
      <c r="B12" s="152"/>
      <c r="C12" s="151"/>
      <c r="D12" s="170"/>
      <c r="E12" s="170"/>
      <c r="F12" s="170"/>
      <c r="G12" s="170"/>
      <c r="H12" s="171"/>
    </row>
    <row r="13" spans="1:8" ht="24" customHeight="1">
      <c r="A13" s="153">
        <v>4</v>
      </c>
      <c r="B13" s="152" t="s">
        <v>92</v>
      </c>
      <c r="C13" s="151"/>
      <c r="D13" s="170">
        <v>1548939</v>
      </c>
      <c r="E13" s="170">
        <v>2164526</v>
      </c>
      <c r="F13" s="170">
        <v>848152</v>
      </c>
      <c r="G13" s="170">
        <v>1345319</v>
      </c>
      <c r="H13" s="171">
        <v>1459163</v>
      </c>
    </row>
    <row r="14" spans="1:8" ht="18" customHeight="1" thickBot="1">
      <c r="A14" s="155"/>
      <c r="B14" s="156"/>
      <c r="C14" s="157"/>
      <c r="D14" s="157"/>
      <c r="E14" s="157"/>
      <c r="F14" s="157"/>
      <c r="G14" s="157"/>
      <c r="H14" s="158"/>
    </row>
    <row r="15" spans="1:8" ht="24" customHeight="1" thickBot="1">
      <c r="A15" s="159"/>
      <c r="B15" s="160" t="s">
        <v>151</v>
      </c>
      <c r="C15" s="161"/>
      <c r="D15" s="168">
        <f>SUM(D7:D14)</f>
        <v>52986554</v>
      </c>
      <c r="E15" s="168">
        <f>SUM(E7:E14)</f>
        <v>43171295</v>
      </c>
      <c r="F15" s="168">
        <f>SUM(F7:F14)</f>
        <v>32499179</v>
      </c>
      <c r="G15" s="168">
        <f>SUM(G7:G14)</f>
        <v>31981978</v>
      </c>
      <c r="H15" s="172">
        <f>SUM(H7:H14)</f>
        <v>17109552</v>
      </c>
    </row>
    <row r="16" ht="15">
      <c r="B16" s="14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64"/>
  <sheetViews>
    <sheetView zoomScalePageLayoutView="0" workbookViewId="0" topLeftCell="A43">
      <selection activeCell="F25" sqref="F25"/>
    </sheetView>
  </sheetViews>
  <sheetFormatPr defaultColWidth="9.140625" defaultRowHeight="15"/>
  <cols>
    <col min="2" max="2" width="15.00390625" style="0" bestFit="1" customWidth="1"/>
    <col min="4" max="4" width="29.421875" style="0" bestFit="1" customWidth="1"/>
    <col min="5" max="5" width="14.421875" style="0" bestFit="1" customWidth="1"/>
    <col min="6" max="6" width="49.57421875" style="0" customWidth="1"/>
  </cols>
  <sheetData>
    <row r="2" spans="2:4" ht="15.75">
      <c r="B2" s="197" t="s">
        <v>178</v>
      </c>
      <c r="C2" s="203"/>
      <c r="D2" s="203"/>
    </row>
    <row r="3" spans="2:8" ht="15">
      <c r="B3" s="200" t="s">
        <v>140</v>
      </c>
      <c r="C3" s="200" t="s">
        <v>156</v>
      </c>
      <c r="D3" s="200" t="s">
        <v>157</v>
      </c>
      <c r="E3" s="200" t="s">
        <v>158</v>
      </c>
      <c r="F3" s="200" t="s">
        <v>159</v>
      </c>
      <c r="G3" s="146"/>
      <c r="H3" s="146"/>
    </row>
    <row r="4" spans="2:6" ht="15">
      <c r="B4" s="152" t="s">
        <v>177</v>
      </c>
      <c r="C4" s="151"/>
      <c r="D4" s="151"/>
      <c r="E4" s="151"/>
      <c r="F4" s="151"/>
    </row>
    <row r="5" spans="2:6" ht="15">
      <c r="B5" s="150">
        <v>41888</v>
      </c>
      <c r="C5" s="151" t="s">
        <v>162</v>
      </c>
      <c r="D5" s="151" t="s">
        <v>163</v>
      </c>
      <c r="E5" s="151">
        <v>378000</v>
      </c>
      <c r="F5" s="151" t="s">
        <v>164</v>
      </c>
    </row>
    <row r="6" spans="2:6" ht="15">
      <c r="B6" s="152" t="s">
        <v>165</v>
      </c>
      <c r="C6" s="151"/>
      <c r="D6" s="151"/>
      <c r="E6" s="151"/>
      <c r="F6" s="151"/>
    </row>
    <row r="7" spans="2:6" ht="15">
      <c r="B7" s="150">
        <v>41820</v>
      </c>
      <c r="C7" s="151" t="s">
        <v>166</v>
      </c>
      <c r="D7" s="151" t="s">
        <v>167</v>
      </c>
      <c r="E7" s="151">
        <v>200419</v>
      </c>
      <c r="F7" s="151" t="s">
        <v>168</v>
      </c>
    </row>
    <row r="8" spans="2:6" ht="15">
      <c r="B8" s="152" t="s">
        <v>175</v>
      </c>
      <c r="C8" s="151"/>
      <c r="D8" s="151"/>
      <c r="E8" s="151"/>
      <c r="F8" s="151"/>
    </row>
    <row r="9" spans="2:6" ht="15">
      <c r="B9" s="150">
        <v>41736</v>
      </c>
      <c r="C9" s="151" t="s">
        <v>169</v>
      </c>
      <c r="D9" s="151" t="s">
        <v>170</v>
      </c>
      <c r="E9" s="198">
        <v>63903</v>
      </c>
      <c r="F9" s="151" t="s">
        <v>171</v>
      </c>
    </row>
    <row r="10" spans="2:6" ht="15">
      <c r="B10" s="152" t="s">
        <v>176</v>
      </c>
      <c r="C10" s="151"/>
      <c r="D10" s="151"/>
      <c r="E10" s="151"/>
      <c r="F10" s="151"/>
    </row>
    <row r="11" spans="2:6" ht="15">
      <c r="B11" s="150">
        <v>41810</v>
      </c>
      <c r="C11" s="151" t="s">
        <v>172</v>
      </c>
      <c r="D11" s="151" t="s">
        <v>173</v>
      </c>
      <c r="E11" s="198">
        <v>42073</v>
      </c>
      <c r="F11" s="151" t="s">
        <v>174</v>
      </c>
    </row>
    <row r="12" spans="2:6" ht="15">
      <c r="B12" s="151"/>
      <c r="C12" s="151"/>
      <c r="D12" s="151"/>
      <c r="E12" s="151"/>
      <c r="F12" s="151"/>
    </row>
    <row r="13" spans="2:6" ht="15">
      <c r="B13" s="151" t="s">
        <v>141</v>
      </c>
      <c r="C13" s="151" t="s">
        <v>141</v>
      </c>
      <c r="D13" s="152" t="s">
        <v>161</v>
      </c>
      <c r="E13" s="152">
        <f>SUM(E4:E12)</f>
        <v>684395</v>
      </c>
      <c r="F13" s="151" t="s">
        <v>160</v>
      </c>
    </row>
    <row r="16" spans="2:4" ht="15.75">
      <c r="B16" s="197" t="s">
        <v>191</v>
      </c>
      <c r="C16" s="203"/>
      <c r="D16" s="203"/>
    </row>
    <row r="17" spans="2:6" ht="15">
      <c r="B17" s="200" t="s">
        <v>140</v>
      </c>
      <c r="C17" s="200" t="s">
        <v>156</v>
      </c>
      <c r="D17" s="200" t="s">
        <v>157</v>
      </c>
      <c r="E17" s="200" t="s">
        <v>158</v>
      </c>
      <c r="F17" s="200" t="s">
        <v>159</v>
      </c>
    </row>
    <row r="18" spans="2:6" ht="15">
      <c r="B18" s="152" t="s">
        <v>192</v>
      </c>
      <c r="C18" s="151"/>
      <c r="D18" s="151"/>
      <c r="E18" s="151"/>
      <c r="F18" s="151"/>
    </row>
    <row r="19" spans="2:6" ht="15">
      <c r="B19" s="150">
        <v>41816</v>
      </c>
      <c r="C19" s="151" t="s">
        <v>179</v>
      </c>
      <c r="D19" s="151" t="s">
        <v>180</v>
      </c>
      <c r="E19" s="151">
        <v>3307500</v>
      </c>
      <c r="F19" s="151" t="s">
        <v>181</v>
      </c>
    </row>
    <row r="20" spans="2:6" ht="15">
      <c r="B20" s="150">
        <v>41816</v>
      </c>
      <c r="C20" s="151" t="s">
        <v>182</v>
      </c>
      <c r="D20" s="151" t="s">
        <v>180</v>
      </c>
      <c r="E20" s="151">
        <v>159849</v>
      </c>
      <c r="F20" s="151" t="s">
        <v>183</v>
      </c>
    </row>
    <row r="21" spans="2:6" ht="15">
      <c r="B21" s="150">
        <v>41971</v>
      </c>
      <c r="C21" s="151" t="s">
        <v>184</v>
      </c>
      <c r="D21" s="151" t="s">
        <v>180</v>
      </c>
      <c r="E21" s="151">
        <v>288750</v>
      </c>
      <c r="F21" s="151" t="s">
        <v>185</v>
      </c>
    </row>
    <row r="22" spans="2:6" ht="15">
      <c r="B22" s="150">
        <v>41977</v>
      </c>
      <c r="C22" s="151" t="s">
        <v>186</v>
      </c>
      <c r="D22" s="151" t="s">
        <v>180</v>
      </c>
      <c r="E22" s="198">
        <v>34900</v>
      </c>
      <c r="F22" s="151" t="s">
        <v>187</v>
      </c>
    </row>
    <row r="23" spans="2:6" ht="15">
      <c r="B23" s="150">
        <v>42074</v>
      </c>
      <c r="C23" s="151" t="s">
        <v>188</v>
      </c>
      <c r="D23" s="151" t="s">
        <v>189</v>
      </c>
      <c r="E23" s="151">
        <v>207641</v>
      </c>
      <c r="F23" s="151" t="s">
        <v>190</v>
      </c>
    </row>
    <row r="24" spans="2:6" ht="15">
      <c r="B24" s="151" t="s">
        <v>141</v>
      </c>
      <c r="C24" s="151" t="s">
        <v>141</v>
      </c>
      <c r="D24" s="152" t="s">
        <v>161</v>
      </c>
      <c r="E24" s="152">
        <f>SUM(E18:E23)</f>
        <v>3998640</v>
      </c>
      <c r="F24" s="201"/>
    </row>
    <row r="25" spans="2:6" ht="15">
      <c r="B25" s="151"/>
      <c r="C25" s="151"/>
      <c r="D25" s="151"/>
      <c r="E25" s="151"/>
      <c r="F25" s="151"/>
    </row>
    <row r="27" spans="2:4" ht="15.75">
      <c r="B27" s="197" t="s">
        <v>202</v>
      </c>
      <c r="C27" s="203"/>
      <c r="D27" s="203"/>
    </row>
    <row r="28" spans="2:6" ht="15">
      <c r="B28" s="200" t="s">
        <v>140</v>
      </c>
      <c r="C28" s="200" t="s">
        <v>156</v>
      </c>
      <c r="D28" s="200" t="s">
        <v>157</v>
      </c>
      <c r="E28" s="200" t="s">
        <v>158</v>
      </c>
      <c r="F28" s="200" t="s">
        <v>159</v>
      </c>
    </row>
    <row r="29" spans="2:6" ht="15">
      <c r="B29" s="151"/>
      <c r="C29" s="151"/>
      <c r="D29" s="151"/>
      <c r="E29" s="151"/>
      <c r="F29" s="151"/>
    </row>
    <row r="30" spans="2:6" ht="15">
      <c r="B30" s="152" t="s">
        <v>203</v>
      </c>
      <c r="C30" s="152"/>
      <c r="D30" s="151"/>
      <c r="E30" s="151"/>
      <c r="F30" s="151"/>
    </row>
    <row r="31" spans="2:6" ht="15">
      <c r="B31" s="150">
        <v>41888</v>
      </c>
      <c r="C31" s="151" t="s">
        <v>193</v>
      </c>
      <c r="D31" s="151" t="s">
        <v>194</v>
      </c>
      <c r="E31" s="151">
        <v>161999</v>
      </c>
      <c r="F31" s="151" t="s">
        <v>195</v>
      </c>
    </row>
    <row r="32" spans="2:6" ht="15">
      <c r="B32" s="151"/>
      <c r="C32" s="151"/>
      <c r="D32" s="151"/>
      <c r="E32" s="151"/>
      <c r="F32" s="151"/>
    </row>
    <row r="33" spans="2:6" ht="15">
      <c r="B33" s="152" t="s">
        <v>204</v>
      </c>
      <c r="C33" s="151"/>
      <c r="D33" s="151"/>
      <c r="E33" s="151"/>
      <c r="F33" s="151"/>
    </row>
    <row r="34" spans="2:6" ht="15">
      <c r="B34" s="150">
        <v>41985</v>
      </c>
      <c r="C34" s="151" t="s">
        <v>196</v>
      </c>
      <c r="D34" s="151" t="s">
        <v>197</v>
      </c>
      <c r="E34" s="151">
        <v>117889</v>
      </c>
      <c r="F34" s="151" t="s">
        <v>198</v>
      </c>
    </row>
    <row r="35" spans="2:6" ht="15">
      <c r="B35" s="151"/>
      <c r="C35" s="151"/>
      <c r="D35" s="151"/>
      <c r="E35" s="151"/>
      <c r="F35" s="151"/>
    </row>
    <row r="36" spans="2:6" ht="15">
      <c r="B36" s="152" t="s">
        <v>205</v>
      </c>
      <c r="C36" s="151"/>
      <c r="D36" s="151"/>
      <c r="E36" s="151"/>
      <c r="F36" s="151"/>
    </row>
    <row r="37" spans="2:6" ht="15">
      <c r="B37" s="150">
        <v>41990</v>
      </c>
      <c r="C37" s="151" t="s">
        <v>199</v>
      </c>
      <c r="D37" s="151" t="s">
        <v>200</v>
      </c>
      <c r="E37" s="151">
        <v>359226</v>
      </c>
      <c r="F37" s="151" t="s">
        <v>201</v>
      </c>
    </row>
    <row r="38" spans="2:6" ht="15">
      <c r="B38" s="151" t="s">
        <v>141</v>
      </c>
      <c r="C38" s="151" t="s">
        <v>141</v>
      </c>
      <c r="D38" s="152" t="s">
        <v>161</v>
      </c>
      <c r="E38" s="152">
        <f>SUM(E29:E37)</f>
        <v>639114</v>
      </c>
      <c r="F38" s="151" t="s">
        <v>155</v>
      </c>
    </row>
    <row r="39" spans="2:6" ht="15">
      <c r="B39" s="151"/>
      <c r="C39" s="151"/>
      <c r="D39" s="151"/>
      <c r="E39" s="151"/>
      <c r="F39" s="151"/>
    </row>
    <row r="41" spans="2:6" ht="15.75">
      <c r="B41" s="204" t="s">
        <v>219</v>
      </c>
      <c r="C41" s="205"/>
      <c r="D41" s="205"/>
      <c r="E41" s="151"/>
      <c r="F41" s="151"/>
    </row>
    <row r="42" spans="2:6" ht="15">
      <c r="B42" s="200" t="s">
        <v>140</v>
      </c>
      <c r="C42" s="200" t="s">
        <v>156</v>
      </c>
      <c r="D42" s="200" t="s">
        <v>157</v>
      </c>
      <c r="E42" s="200" t="s">
        <v>158</v>
      </c>
      <c r="F42" s="200" t="s">
        <v>159</v>
      </c>
    </row>
    <row r="43" spans="2:6" ht="15">
      <c r="B43" s="151"/>
      <c r="C43" s="151"/>
      <c r="D43" s="151"/>
      <c r="E43" s="151"/>
      <c r="F43" s="151"/>
    </row>
    <row r="44" spans="2:6" ht="15">
      <c r="B44" s="152" t="s">
        <v>220</v>
      </c>
      <c r="C44" s="151"/>
      <c r="D44" s="151"/>
      <c r="E44" s="151"/>
      <c r="F44" s="151"/>
    </row>
    <row r="45" spans="2:6" ht="15">
      <c r="B45" s="150">
        <v>41920</v>
      </c>
      <c r="C45" s="151" t="s">
        <v>206</v>
      </c>
      <c r="D45" s="151" t="s">
        <v>207</v>
      </c>
      <c r="E45" s="198">
        <v>22054</v>
      </c>
      <c r="F45" s="151" t="s">
        <v>208</v>
      </c>
    </row>
    <row r="46" spans="2:6" ht="15">
      <c r="B46" s="150">
        <v>41920</v>
      </c>
      <c r="C46" s="151" t="s">
        <v>209</v>
      </c>
      <c r="D46" s="151" t="s">
        <v>207</v>
      </c>
      <c r="E46" s="151">
        <v>249471</v>
      </c>
      <c r="F46" s="151" t="s">
        <v>210</v>
      </c>
    </row>
    <row r="47" spans="2:6" ht="15">
      <c r="B47" s="151" t="s">
        <v>141</v>
      </c>
      <c r="C47" s="151" t="s">
        <v>141</v>
      </c>
      <c r="D47" s="152" t="s">
        <v>161</v>
      </c>
      <c r="E47" s="199">
        <f>SUM(E45:E46)</f>
        <v>271525</v>
      </c>
      <c r="F47" s="151" t="s">
        <v>160</v>
      </c>
    </row>
    <row r="48" spans="2:6" ht="15">
      <c r="B48" s="151"/>
      <c r="C48" s="151"/>
      <c r="D48" s="151"/>
      <c r="E48" s="151"/>
      <c r="F48" s="151"/>
    </row>
    <row r="49" spans="2:6" ht="15">
      <c r="B49" s="152" t="s">
        <v>221</v>
      </c>
      <c r="C49" s="151"/>
      <c r="D49" s="151"/>
      <c r="E49" s="151"/>
      <c r="F49" s="151"/>
    </row>
    <row r="50" spans="2:6" ht="15">
      <c r="B50" s="150">
        <v>41883</v>
      </c>
      <c r="C50" s="151" t="s">
        <v>211</v>
      </c>
      <c r="D50" s="151" t="s">
        <v>212</v>
      </c>
      <c r="E50" s="151">
        <v>128005</v>
      </c>
      <c r="F50" s="151" t="s">
        <v>213</v>
      </c>
    </row>
    <row r="51" spans="2:6" ht="15">
      <c r="B51" s="150">
        <v>41956</v>
      </c>
      <c r="C51" s="151" t="s">
        <v>214</v>
      </c>
      <c r="D51" s="151" t="s">
        <v>212</v>
      </c>
      <c r="E51" s="151">
        <v>196840</v>
      </c>
      <c r="F51" s="151" t="s">
        <v>215</v>
      </c>
    </row>
    <row r="52" spans="2:6" ht="15">
      <c r="B52" s="151"/>
      <c r="C52" s="151"/>
      <c r="D52" s="151"/>
      <c r="E52" s="152">
        <f>SUM(E50:E51)</f>
        <v>324845</v>
      </c>
      <c r="F52" s="151"/>
    </row>
    <row r="53" spans="2:6" ht="15">
      <c r="B53" s="152" t="s">
        <v>222</v>
      </c>
      <c r="C53" s="151"/>
      <c r="D53" s="151"/>
      <c r="E53" s="151"/>
      <c r="F53" s="151"/>
    </row>
    <row r="54" spans="2:6" ht="15">
      <c r="B54" s="150">
        <v>41897</v>
      </c>
      <c r="C54" s="151" t="s">
        <v>216</v>
      </c>
      <c r="D54" s="151" t="s">
        <v>217</v>
      </c>
      <c r="E54" s="151">
        <v>105000</v>
      </c>
      <c r="F54" s="151" t="s">
        <v>218</v>
      </c>
    </row>
    <row r="55" spans="2:6" ht="15">
      <c r="B55" s="151" t="s">
        <v>141</v>
      </c>
      <c r="C55" s="151" t="s">
        <v>141</v>
      </c>
      <c r="D55" s="152" t="s">
        <v>161</v>
      </c>
      <c r="E55" s="199">
        <f>E54+E52+E47</f>
        <v>701370</v>
      </c>
      <c r="F55" s="151" t="s">
        <v>155</v>
      </c>
    </row>
    <row r="57" spans="2:6" ht="15">
      <c r="B57" s="200" t="s">
        <v>237</v>
      </c>
      <c r="C57" s="205"/>
      <c r="D57" s="151"/>
      <c r="E57" s="151"/>
      <c r="F57" s="151"/>
    </row>
    <row r="58" spans="2:6" ht="15">
      <c r="B58" s="200" t="s">
        <v>140</v>
      </c>
      <c r="C58" s="200" t="s">
        <v>156</v>
      </c>
      <c r="D58" s="200" t="s">
        <v>157</v>
      </c>
      <c r="E58" s="200" t="s">
        <v>158</v>
      </c>
      <c r="F58" s="200" t="s">
        <v>159</v>
      </c>
    </row>
    <row r="59" spans="2:6" ht="15">
      <c r="B59" s="150">
        <v>41792</v>
      </c>
      <c r="C59" s="151" t="s">
        <v>223</v>
      </c>
      <c r="D59" s="151" t="s">
        <v>224</v>
      </c>
      <c r="E59" s="198">
        <v>9000</v>
      </c>
      <c r="F59" s="151" t="s">
        <v>225</v>
      </c>
    </row>
    <row r="60" spans="2:6" ht="15">
      <c r="B60" s="150">
        <v>41828</v>
      </c>
      <c r="C60" s="151" t="s">
        <v>226</v>
      </c>
      <c r="D60" s="151" t="s">
        <v>224</v>
      </c>
      <c r="E60" s="198">
        <v>9000</v>
      </c>
      <c r="F60" s="151" t="s">
        <v>227</v>
      </c>
    </row>
    <row r="61" spans="2:6" ht="15">
      <c r="B61" s="150">
        <v>41831</v>
      </c>
      <c r="C61" s="151" t="s">
        <v>228</v>
      </c>
      <c r="D61" s="151" t="s">
        <v>229</v>
      </c>
      <c r="E61" s="198">
        <v>183540</v>
      </c>
      <c r="F61" s="151" t="s">
        <v>230</v>
      </c>
    </row>
    <row r="62" spans="2:6" ht="15">
      <c r="B62" s="150">
        <v>41834</v>
      </c>
      <c r="C62" s="151" t="s">
        <v>231</v>
      </c>
      <c r="D62" s="151" t="s">
        <v>232</v>
      </c>
      <c r="E62" s="198">
        <v>525000</v>
      </c>
      <c r="F62" s="151" t="s">
        <v>233</v>
      </c>
    </row>
    <row r="63" spans="2:6" ht="15">
      <c r="B63" s="150">
        <v>41871</v>
      </c>
      <c r="C63" s="151" t="s">
        <v>234</v>
      </c>
      <c r="D63" s="151" t="s">
        <v>235</v>
      </c>
      <c r="E63" s="198">
        <v>1350000</v>
      </c>
      <c r="F63" s="151" t="s">
        <v>236</v>
      </c>
    </row>
    <row r="64" spans="2:6" ht="15">
      <c r="B64" s="151" t="s">
        <v>141</v>
      </c>
      <c r="C64" s="151" t="s">
        <v>141</v>
      </c>
      <c r="D64" s="152" t="s">
        <v>161</v>
      </c>
      <c r="E64" s="199">
        <f>SUM(E59:E63)</f>
        <v>2076540</v>
      </c>
      <c r="F64" s="151" t="s">
        <v>155</v>
      </c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8"/>
  <sheetViews>
    <sheetView tabSelected="1" zoomScalePageLayoutView="0" workbookViewId="0" topLeftCell="A4">
      <selection activeCell="C12" sqref="C12"/>
    </sheetView>
  </sheetViews>
  <sheetFormatPr defaultColWidth="9.140625" defaultRowHeight="15"/>
  <cols>
    <col min="3" max="3" width="44.8515625" style="0" customWidth="1"/>
    <col min="4" max="5" width="13.57421875" style="0" customWidth="1"/>
    <col min="6" max="6" width="13.421875" style="0" customWidth="1"/>
    <col min="7" max="7" width="13.7109375" style="0" customWidth="1"/>
    <col min="8" max="8" width="12.8515625" style="0" customWidth="1"/>
    <col min="9" max="10" width="14.00390625" style="0" customWidth="1"/>
    <col min="11" max="11" width="12.421875" style="0" customWidth="1"/>
  </cols>
  <sheetData>
    <row r="4" spans="2:11" ht="30.75" customHeight="1" thickBot="1">
      <c r="B4" s="363"/>
      <c r="C4" s="477" t="s">
        <v>302</v>
      </c>
      <c r="D4" s="477"/>
      <c r="E4" s="477"/>
      <c r="F4" s="477"/>
      <c r="G4" s="477"/>
      <c r="H4" s="477"/>
      <c r="I4" s="477"/>
      <c r="J4" s="477"/>
      <c r="K4" s="477"/>
    </row>
    <row r="5" spans="2:11" ht="30.75" thickBot="1">
      <c r="B5" s="487" t="s">
        <v>290</v>
      </c>
      <c r="C5" s="364" t="s">
        <v>291</v>
      </c>
      <c r="D5" s="365" t="s">
        <v>292</v>
      </c>
      <c r="E5" s="366" t="s">
        <v>294</v>
      </c>
      <c r="F5" s="367" t="s">
        <v>292</v>
      </c>
      <c r="G5" s="368" t="s">
        <v>294</v>
      </c>
      <c r="H5" s="367" t="s">
        <v>292</v>
      </c>
      <c r="I5" s="368" t="s">
        <v>294</v>
      </c>
      <c r="J5" s="367" t="s">
        <v>292</v>
      </c>
      <c r="K5" s="368" t="s">
        <v>294</v>
      </c>
    </row>
    <row r="6" spans="2:11" ht="30.75" thickBot="1">
      <c r="B6" s="488"/>
      <c r="C6" s="369"/>
      <c r="D6" s="370" t="s">
        <v>293</v>
      </c>
      <c r="E6" s="371" t="s">
        <v>296</v>
      </c>
      <c r="F6" s="372" t="s">
        <v>293</v>
      </c>
      <c r="G6" s="373" t="s">
        <v>296</v>
      </c>
      <c r="H6" s="372" t="s">
        <v>295</v>
      </c>
      <c r="I6" s="373" t="s">
        <v>296</v>
      </c>
      <c r="J6" s="372" t="s">
        <v>295</v>
      </c>
      <c r="K6" s="373" t="s">
        <v>296</v>
      </c>
    </row>
    <row r="7" spans="2:11" ht="20.25" customHeight="1" thickBot="1">
      <c r="B7" s="374"/>
      <c r="C7" s="375" t="s">
        <v>304</v>
      </c>
      <c r="D7" s="489" t="s">
        <v>303</v>
      </c>
      <c r="E7" s="490"/>
      <c r="F7" s="489" t="s">
        <v>301</v>
      </c>
      <c r="G7" s="490"/>
      <c r="H7" s="489" t="s">
        <v>300</v>
      </c>
      <c r="I7" s="490"/>
      <c r="J7" s="489" t="s">
        <v>297</v>
      </c>
      <c r="K7" s="490"/>
    </row>
    <row r="8" spans="2:11" ht="15">
      <c r="B8" s="376">
        <v>1</v>
      </c>
      <c r="C8" s="377" t="s">
        <v>298</v>
      </c>
      <c r="D8" s="407">
        <v>1</v>
      </c>
      <c r="E8" s="380">
        <v>4.82</v>
      </c>
      <c r="F8" s="405">
        <v>1</v>
      </c>
      <c r="G8" s="378">
        <v>2.26</v>
      </c>
      <c r="H8" s="401">
        <v>1.5</v>
      </c>
      <c r="I8" s="378">
        <v>1.78</v>
      </c>
      <c r="J8" s="401">
        <v>2</v>
      </c>
      <c r="K8" s="378">
        <v>1.4</v>
      </c>
    </row>
    <row r="9" spans="2:11" ht="15">
      <c r="B9" s="376">
        <v>2</v>
      </c>
      <c r="C9" s="377" t="s">
        <v>307</v>
      </c>
      <c r="D9" s="406">
        <v>2</v>
      </c>
      <c r="E9" s="380"/>
      <c r="F9" s="381"/>
      <c r="G9" s="378"/>
      <c r="H9" s="401"/>
      <c r="I9" s="378"/>
      <c r="J9" s="401">
        <v>7</v>
      </c>
      <c r="K9" s="378">
        <v>6.26</v>
      </c>
    </row>
    <row r="10" spans="2:11" ht="19.5" customHeight="1">
      <c r="B10" s="382"/>
      <c r="C10" s="383" t="s">
        <v>305</v>
      </c>
      <c r="D10" s="379"/>
      <c r="E10" s="379"/>
      <c r="F10" s="384"/>
      <c r="G10" s="385"/>
      <c r="H10" s="402"/>
      <c r="I10" s="385"/>
      <c r="J10" s="402"/>
      <c r="K10" s="385"/>
    </row>
    <row r="11" spans="2:11" ht="29.25">
      <c r="B11" s="376">
        <v>3</v>
      </c>
      <c r="C11" s="386" t="s">
        <v>306</v>
      </c>
      <c r="D11" s="379">
        <v>75</v>
      </c>
      <c r="E11" s="380">
        <v>75.8</v>
      </c>
      <c r="F11" s="379">
        <v>70</v>
      </c>
      <c r="G11" s="378">
        <v>67.27</v>
      </c>
      <c r="H11" s="401">
        <v>85</v>
      </c>
      <c r="I11" s="378">
        <v>83.21</v>
      </c>
      <c r="J11" s="401">
        <v>90</v>
      </c>
      <c r="K11" s="378">
        <v>85.05</v>
      </c>
    </row>
    <row r="12" spans="2:11" ht="19.5" customHeight="1">
      <c r="B12" s="376">
        <v>4</v>
      </c>
      <c r="C12" s="386" t="s">
        <v>299</v>
      </c>
      <c r="D12" s="379">
        <v>1</v>
      </c>
      <c r="E12" s="380">
        <v>2.57</v>
      </c>
      <c r="F12" s="379">
        <v>0.5</v>
      </c>
      <c r="G12" s="378">
        <v>1.7</v>
      </c>
      <c r="H12" s="401">
        <v>0.25</v>
      </c>
      <c r="I12" s="378">
        <v>0.58</v>
      </c>
      <c r="J12" s="401">
        <v>0.5</v>
      </c>
      <c r="K12" s="378">
        <v>0.39</v>
      </c>
    </row>
    <row r="13" spans="2:11" ht="18.75" customHeight="1">
      <c r="B13" s="376">
        <v>5</v>
      </c>
      <c r="C13" s="386" t="s">
        <v>114</v>
      </c>
      <c r="D13" s="387">
        <v>2</v>
      </c>
      <c r="E13" s="388">
        <v>2.4</v>
      </c>
      <c r="F13" s="381">
        <v>2</v>
      </c>
      <c r="G13" s="378">
        <v>3.68</v>
      </c>
      <c r="H13" s="401">
        <v>1.5</v>
      </c>
      <c r="I13" s="378">
        <v>1.09</v>
      </c>
      <c r="J13" s="401">
        <v>2.5</v>
      </c>
      <c r="K13" s="378">
        <v>0</v>
      </c>
    </row>
    <row r="14" spans="2:11" ht="18.75" customHeight="1">
      <c r="B14" s="491">
        <v>6</v>
      </c>
      <c r="C14" s="389" t="s">
        <v>125</v>
      </c>
      <c r="D14" s="390"/>
      <c r="E14" s="391"/>
      <c r="F14" s="400"/>
      <c r="G14" s="392"/>
      <c r="H14" s="403"/>
      <c r="I14" s="392"/>
      <c r="J14" s="404"/>
      <c r="K14" s="393"/>
    </row>
    <row r="15" spans="2:11" ht="15">
      <c r="B15" s="491"/>
      <c r="C15" s="394" t="s">
        <v>115</v>
      </c>
      <c r="D15" s="484">
        <v>2.25</v>
      </c>
      <c r="E15" s="496">
        <v>0.2</v>
      </c>
      <c r="F15" s="484">
        <v>2.25</v>
      </c>
      <c r="G15" s="493">
        <v>0.53</v>
      </c>
      <c r="H15" s="478">
        <v>3</v>
      </c>
      <c r="I15" s="481">
        <v>0.35</v>
      </c>
      <c r="J15" s="478">
        <v>3</v>
      </c>
      <c r="K15" s="481">
        <v>0.18</v>
      </c>
    </row>
    <row r="16" spans="2:11" ht="15">
      <c r="B16" s="491"/>
      <c r="C16" s="394" t="s">
        <v>245</v>
      </c>
      <c r="D16" s="485"/>
      <c r="E16" s="497"/>
      <c r="F16" s="485"/>
      <c r="G16" s="494"/>
      <c r="H16" s="479"/>
      <c r="I16" s="482"/>
      <c r="J16" s="479"/>
      <c r="K16" s="482"/>
    </row>
    <row r="17" spans="2:11" ht="15.75" thickBot="1">
      <c r="B17" s="492"/>
      <c r="C17" s="395" t="s">
        <v>246</v>
      </c>
      <c r="D17" s="486"/>
      <c r="E17" s="498"/>
      <c r="F17" s="486"/>
      <c r="G17" s="495"/>
      <c r="H17" s="480"/>
      <c r="I17" s="483"/>
      <c r="J17" s="480"/>
      <c r="K17" s="483"/>
    </row>
    <row r="18" spans="2:11" ht="22.5" customHeight="1" thickBot="1">
      <c r="B18" s="396"/>
      <c r="C18" s="397" t="s">
        <v>139</v>
      </c>
      <c r="D18" s="398">
        <f aca="true" t="shared" si="0" ref="D18:K18">SUM(D8:D17)</f>
        <v>83.25</v>
      </c>
      <c r="E18" s="398">
        <f t="shared" si="0"/>
        <v>85.79</v>
      </c>
      <c r="F18" s="399">
        <f t="shared" si="0"/>
        <v>75.75</v>
      </c>
      <c r="G18" s="399">
        <f t="shared" si="0"/>
        <v>75.44000000000001</v>
      </c>
      <c r="H18" s="399">
        <f t="shared" si="0"/>
        <v>91.25</v>
      </c>
      <c r="I18" s="399">
        <f t="shared" si="0"/>
        <v>87.00999999999999</v>
      </c>
      <c r="J18" s="399">
        <f t="shared" si="0"/>
        <v>105</v>
      </c>
      <c r="K18" s="399">
        <f t="shared" si="0"/>
        <v>93.28</v>
      </c>
    </row>
  </sheetData>
  <sheetProtection/>
  <mergeCells count="15">
    <mergeCell ref="B5:B6"/>
    <mergeCell ref="F7:G7"/>
    <mergeCell ref="H7:I7"/>
    <mergeCell ref="J7:K7"/>
    <mergeCell ref="B14:B17"/>
    <mergeCell ref="G15:G17"/>
    <mergeCell ref="D7:E7"/>
    <mergeCell ref="E15:E17"/>
    <mergeCell ref="D15:D17"/>
    <mergeCell ref="C4:K4"/>
    <mergeCell ref="H15:H17"/>
    <mergeCell ref="I15:I17"/>
    <mergeCell ref="J15:J17"/>
    <mergeCell ref="K15:K17"/>
    <mergeCell ref="F15:F17"/>
  </mergeCells>
  <printOptions/>
  <pageMargins left="0.27" right="0.25" top="0.75" bottom="0.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B1">
      <selection activeCell="C12" sqref="C12"/>
    </sheetView>
  </sheetViews>
  <sheetFormatPr defaultColWidth="9.140625" defaultRowHeight="15"/>
  <cols>
    <col min="1" max="1" width="5.00390625" style="0" customWidth="1"/>
    <col min="2" max="2" width="33.140625" style="0" customWidth="1"/>
    <col min="3" max="3" width="15.28125" style="0" customWidth="1"/>
    <col min="4" max="4" width="17.8515625" style="0" customWidth="1"/>
    <col min="5" max="5" width="21.140625" style="0" customWidth="1"/>
  </cols>
  <sheetData>
    <row r="1" spans="1:5" ht="18">
      <c r="A1" s="411" t="s">
        <v>41</v>
      </c>
      <c r="B1" s="411"/>
      <c r="C1" s="411"/>
      <c r="D1" s="411"/>
      <c r="E1" s="411"/>
    </row>
    <row r="2" spans="1:5" ht="18">
      <c r="A2" s="412" t="s">
        <v>42</v>
      </c>
      <c r="B2" s="412"/>
      <c r="C2" s="412"/>
      <c r="D2" s="412"/>
      <c r="E2" s="412"/>
    </row>
    <row r="3" spans="1:5" ht="18">
      <c r="A3" s="411" t="s">
        <v>43</v>
      </c>
      <c r="B3" s="411"/>
      <c r="C3" s="411"/>
      <c r="D3" s="411"/>
      <c r="E3" s="411"/>
    </row>
    <row r="4" spans="1:5" ht="12" customHeight="1">
      <c r="A4" s="5"/>
      <c r="B4" s="4"/>
      <c r="C4" s="4"/>
      <c r="D4" s="4"/>
      <c r="E4" s="4"/>
    </row>
    <row r="5" spans="1:5" ht="16.5" thickBot="1">
      <c r="A5" s="28" t="s">
        <v>44</v>
      </c>
      <c r="B5" s="4"/>
      <c r="C5" s="4"/>
      <c r="D5" s="4"/>
      <c r="E5" s="4"/>
    </row>
    <row r="6" spans="1:5" ht="30" customHeight="1" thickBot="1">
      <c r="A6" s="121" t="s">
        <v>45</v>
      </c>
      <c r="B6" s="122" t="s">
        <v>4</v>
      </c>
      <c r="C6" s="123" t="s">
        <v>70</v>
      </c>
      <c r="D6" s="124" t="s">
        <v>71</v>
      </c>
      <c r="E6" s="125" t="s">
        <v>6</v>
      </c>
    </row>
    <row r="7" spans="1:5" ht="19.5" customHeight="1">
      <c r="A7" s="119">
        <v>1</v>
      </c>
      <c r="B7" s="119" t="s">
        <v>46</v>
      </c>
      <c r="C7" s="126" t="s">
        <v>47</v>
      </c>
      <c r="D7" s="119"/>
      <c r="E7" s="119"/>
    </row>
    <row r="8" spans="1:5" ht="19.5" customHeight="1">
      <c r="A8" s="120">
        <v>2</v>
      </c>
      <c r="B8" s="120" t="s">
        <v>48</v>
      </c>
      <c r="C8" s="127" t="s">
        <v>47</v>
      </c>
      <c r="D8" s="120"/>
      <c r="E8" s="120"/>
    </row>
    <row r="9" spans="1:5" ht="19.5" customHeight="1">
      <c r="A9" s="120">
        <v>3</v>
      </c>
      <c r="B9" s="120" t="s">
        <v>49</v>
      </c>
      <c r="C9" s="128" t="s">
        <v>50</v>
      </c>
      <c r="D9" s="120">
        <f>400000+121826</f>
        <v>521826</v>
      </c>
      <c r="E9" s="120"/>
    </row>
    <row r="10" spans="1:5" ht="15.75">
      <c r="A10" s="120">
        <v>4</v>
      </c>
      <c r="B10" s="120" t="s">
        <v>51</v>
      </c>
      <c r="C10" s="128" t="s">
        <v>28</v>
      </c>
      <c r="D10" s="120">
        <f>63429+10103+13721+54000+51000</f>
        <v>192253</v>
      </c>
      <c r="E10" s="120"/>
    </row>
    <row r="11" spans="1:5" ht="15.75">
      <c r="A11" s="120">
        <v>5</v>
      </c>
      <c r="B11" s="120" t="s">
        <v>12</v>
      </c>
      <c r="C11" s="128" t="s">
        <v>52</v>
      </c>
      <c r="D11" s="120">
        <v>0</v>
      </c>
      <c r="E11" s="120"/>
    </row>
    <row r="12" spans="1:5" ht="15.75">
      <c r="A12" s="120">
        <v>6</v>
      </c>
      <c r="B12" s="120" t="s">
        <v>53</v>
      </c>
      <c r="C12" s="127" t="s">
        <v>54</v>
      </c>
      <c r="D12" s="120">
        <v>0</v>
      </c>
      <c r="E12" s="120"/>
    </row>
    <row r="13" spans="1:5" ht="15.75">
      <c r="A13" s="120">
        <v>7</v>
      </c>
      <c r="B13" s="120" t="s">
        <v>16</v>
      </c>
      <c r="C13" s="127" t="s">
        <v>55</v>
      </c>
      <c r="D13" s="120"/>
      <c r="E13" s="120"/>
    </row>
    <row r="14" spans="1:5" ht="16.5" thickBot="1">
      <c r="A14" s="129">
        <v>8</v>
      </c>
      <c r="B14" s="129" t="s">
        <v>17</v>
      </c>
      <c r="C14" s="130" t="s">
        <v>11</v>
      </c>
      <c r="D14" s="129"/>
      <c r="E14" s="129"/>
    </row>
    <row r="15" spans="1:5" ht="16.5" thickBot="1">
      <c r="A15" s="131" t="s">
        <v>56</v>
      </c>
      <c r="B15" s="124" t="s">
        <v>57</v>
      </c>
      <c r="C15" s="123" t="s">
        <v>58</v>
      </c>
      <c r="D15" s="132"/>
      <c r="E15" s="133"/>
    </row>
    <row r="16" spans="1:5" ht="15.75">
      <c r="A16" s="134"/>
      <c r="B16" s="135"/>
      <c r="C16" s="135"/>
      <c r="D16" s="135"/>
      <c r="E16" s="135"/>
    </row>
    <row r="17" spans="1:5" ht="15.75">
      <c r="A17" s="136" t="s">
        <v>59</v>
      </c>
      <c r="B17" s="135"/>
      <c r="C17" s="135"/>
      <c r="D17" s="135"/>
      <c r="E17" s="135"/>
    </row>
    <row r="18" spans="1:5" ht="16.5" thickBot="1">
      <c r="A18" s="134"/>
      <c r="B18" s="135"/>
      <c r="C18" s="135"/>
      <c r="D18" s="135"/>
      <c r="E18" s="135"/>
    </row>
    <row r="19" spans="1:5" ht="34.5" customHeight="1" thickBot="1">
      <c r="A19" s="121" t="s">
        <v>45</v>
      </c>
      <c r="B19" s="122" t="s">
        <v>4</v>
      </c>
      <c r="C19" s="124" t="s">
        <v>60</v>
      </c>
      <c r="D19" s="124" t="s">
        <v>71</v>
      </c>
      <c r="E19" s="137" t="s">
        <v>6</v>
      </c>
    </row>
    <row r="20" spans="1:5" ht="19.5" customHeight="1">
      <c r="A20" s="119">
        <v>1</v>
      </c>
      <c r="B20" s="119" t="s">
        <v>61</v>
      </c>
      <c r="C20" s="119" t="s">
        <v>62</v>
      </c>
      <c r="D20" s="119">
        <f>138731+59831</f>
        <v>198562</v>
      </c>
      <c r="E20" s="119"/>
    </row>
    <row r="21" spans="1:5" ht="19.5" customHeight="1">
      <c r="A21" s="120">
        <v>2</v>
      </c>
      <c r="B21" s="120" t="s">
        <v>63</v>
      </c>
      <c r="C21" s="120" t="s">
        <v>64</v>
      </c>
      <c r="D21" s="120">
        <f>16850+8500</f>
        <v>25350</v>
      </c>
      <c r="E21" s="120"/>
    </row>
    <row r="22" spans="1:5" ht="19.5" customHeight="1">
      <c r="A22" s="120">
        <v>3</v>
      </c>
      <c r="B22" s="120" t="s">
        <v>65</v>
      </c>
      <c r="C22" s="120" t="s">
        <v>7</v>
      </c>
      <c r="D22" s="120"/>
      <c r="E22" s="120"/>
    </row>
    <row r="23" spans="1:5" ht="19.5" customHeight="1">
      <c r="A23" s="120">
        <v>4</v>
      </c>
      <c r="B23" s="120" t="s">
        <v>25</v>
      </c>
      <c r="C23" s="120" t="s">
        <v>66</v>
      </c>
      <c r="D23" s="120"/>
      <c r="E23" s="120"/>
    </row>
    <row r="24" spans="1:5" ht="19.5" customHeight="1">
      <c r="A24" s="120">
        <v>5</v>
      </c>
      <c r="B24" s="120" t="s">
        <v>27</v>
      </c>
      <c r="C24" s="120" t="s">
        <v>66</v>
      </c>
      <c r="D24" s="120"/>
      <c r="E24" s="120"/>
    </row>
    <row r="25" spans="1:5" ht="19.5" customHeight="1">
      <c r="A25" s="120">
        <v>6</v>
      </c>
      <c r="B25" s="120" t="s">
        <v>53</v>
      </c>
      <c r="C25" s="120" t="s">
        <v>67</v>
      </c>
      <c r="D25" s="120"/>
      <c r="E25" s="120"/>
    </row>
    <row r="26" spans="1:5" ht="19.5" customHeight="1">
      <c r="A26" s="120">
        <v>7</v>
      </c>
      <c r="B26" s="120" t="s">
        <v>16</v>
      </c>
      <c r="C26" s="120" t="s">
        <v>11</v>
      </c>
      <c r="D26" s="120"/>
      <c r="E26" s="120"/>
    </row>
    <row r="27" spans="1:5" ht="19.5" customHeight="1" thickBot="1">
      <c r="A27" s="129">
        <v>8</v>
      </c>
      <c r="B27" s="129" t="s">
        <v>17</v>
      </c>
      <c r="C27" s="129" t="s">
        <v>11</v>
      </c>
      <c r="D27" s="129"/>
      <c r="E27" s="129"/>
    </row>
    <row r="28" spans="1:5" ht="19.5" customHeight="1" thickBot="1">
      <c r="A28" s="131" t="s">
        <v>56</v>
      </c>
      <c r="B28" s="124" t="s">
        <v>68</v>
      </c>
      <c r="C28" s="124" t="s">
        <v>69</v>
      </c>
      <c r="D28" s="132" t="s">
        <v>56</v>
      </c>
      <c r="E28" s="133"/>
    </row>
    <row r="29" spans="1:5" ht="15.75">
      <c r="A29" s="5"/>
      <c r="B29" s="4"/>
      <c r="C29" s="4"/>
      <c r="D29" s="4"/>
      <c r="E29" s="4"/>
    </row>
    <row r="30" spans="1:5" ht="15.75">
      <c r="A30" s="5"/>
      <c r="B30" s="4"/>
      <c r="C30" s="4"/>
      <c r="D30" s="4"/>
      <c r="E30" s="4"/>
    </row>
    <row r="31" spans="1:5" ht="15.75">
      <c r="A31" s="5" t="s">
        <v>72</v>
      </c>
      <c r="B31" s="4"/>
      <c r="C31" s="4"/>
      <c r="D31" s="4"/>
      <c r="E31" s="4"/>
    </row>
    <row r="32" ht="15.75">
      <c r="A32" s="36"/>
    </row>
    <row r="33" ht="15.75">
      <c r="A33" s="36"/>
    </row>
    <row r="34" ht="15.75">
      <c r="A34" s="3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.421875" style="0" customWidth="1"/>
    <col min="2" max="2" width="36.421875" style="0" customWidth="1"/>
    <col min="3" max="3" width="18.28125" style="0" customWidth="1"/>
    <col min="4" max="4" width="18.140625" style="0" customWidth="1"/>
    <col min="5" max="5" width="20.57421875" style="0" customWidth="1"/>
  </cols>
  <sheetData>
    <row r="2" spans="1:5" ht="23.25">
      <c r="A2" s="417" t="s">
        <v>0</v>
      </c>
      <c r="B2" s="417"/>
      <c r="C2" s="417"/>
      <c r="D2" s="417"/>
      <c r="E2" s="417"/>
    </row>
    <row r="3" spans="1:5" ht="18">
      <c r="A3" s="40"/>
      <c r="B3" s="39" t="s">
        <v>81</v>
      </c>
      <c r="C3" s="38" t="s">
        <v>73</v>
      </c>
      <c r="D3" s="38"/>
      <c r="E3" s="38"/>
    </row>
    <row r="4" spans="1:5" ht="18.75" thickBot="1">
      <c r="A4" s="418" t="s">
        <v>1</v>
      </c>
      <c r="B4" s="418"/>
      <c r="C4" s="418"/>
      <c r="D4" s="418"/>
      <c r="E4" s="418"/>
    </row>
    <row r="5" spans="1:5" ht="18.75" thickBot="1">
      <c r="A5" s="413" t="s">
        <v>2</v>
      </c>
      <c r="B5" s="414"/>
      <c r="C5" s="414"/>
      <c r="D5" s="414"/>
      <c r="E5" s="415"/>
    </row>
    <row r="6" spans="1:5" ht="36.75" customHeight="1" thickBot="1">
      <c r="A6" s="59" t="s">
        <v>3</v>
      </c>
      <c r="B6" s="60" t="s">
        <v>4</v>
      </c>
      <c r="C6" s="61" t="s">
        <v>36</v>
      </c>
      <c r="D6" s="61" t="s">
        <v>84</v>
      </c>
      <c r="E6" s="62" t="s">
        <v>6</v>
      </c>
    </row>
    <row r="7" spans="1:5" ht="21">
      <c r="A7" s="63">
        <v>1</v>
      </c>
      <c r="B7" s="56" t="s">
        <v>82</v>
      </c>
      <c r="C7" s="57" t="s">
        <v>7</v>
      </c>
      <c r="D7" s="58"/>
      <c r="E7" s="64"/>
    </row>
    <row r="8" spans="1:5" ht="21">
      <c r="A8" s="65">
        <v>2</v>
      </c>
      <c r="B8" s="54" t="s">
        <v>83</v>
      </c>
      <c r="C8" s="53" t="s">
        <v>7</v>
      </c>
      <c r="D8" s="42"/>
      <c r="E8" s="66"/>
    </row>
    <row r="9" spans="1:5" ht="18">
      <c r="A9" s="65">
        <v>3</v>
      </c>
      <c r="B9" s="54" t="s">
        <v>8</v>
      </c>
      <c r="C9" s="49" t="s">
        <v>7</v>
      </c>
      <c r="D9" s="118">
        <f>1054420+860000</f>
        <v>1914420</v>
      </c>
      <c r="E9" s="66"/>
    </row>
    <row r="10" spans="1:5" ht="18">
      <c r="A10" s="65">
        <v>4</v>
      </c>
      <c r="B10" s="54" t="s">
        <v>10</v>
      </c>
      <c r="C10" s="50">
        <v>20000</v>
      </c>
      <c r="D10" s="43">
        <f>97608+12947+35340+51000</f>
        <v>196895</v>
      </c>
      <c r="E10" s="66"/>
    </row>
    <row r="11" spans="1:5" ht="18">
      <c r="A11" s="65">
        <v>5</v>
      </c>
      <c r="B11" s="54" t="s">
        <v>12</v>
      </c>
      <c r="C11" s="49" t="s">
        <v>75</v>
      </c>
      <c r="D11" s="117">
        <v>0</v>
      </c>
      <c r="E11" s="66"/>
    </row>
    <row r="12" spans="1:5" ht="18">
      <c r="A12" s="65">
        <v>6</v>
      </c>
      <c r="B12" s="54" t="s">
        <v>14</v>
      </c>
      <c r="C12" s="49" t="s">
        <v>76</v>
      </c>
      <c r="D12" s="43">
        <v>0</v>
      </c>
      <c r="E12" s="67"/>
    </row>
    <row r="13" spans="1:5" ht="18">
      <c r="A13" s="65">
        <v>7</v>
      </c>
      <c r="B13" s="54" t="s">
        <v>16</v>
      </c>
      <c r="C13" s="50">
        <v>10000</v>
      </c>
      <c r="D13" s="43"/>
      <c r="E13" s="66"/>
    </row>
    <row r="14" spans="1:5" ht="18.75" thickBot="1">
      <c r="A14" s="68">
        <v>8</v>
      </c>
      <c r="B14" s="55" t="s">
        <v>17</v>
      </c>
      <c r="C14" s="51">
        <v>10000</v>
      </c>
      <c r="D14" s="44"/>
      <c r="E14" s="69"/>
    </row>
    <row r="15" spans="1:5" ht="18.75" thickBot="1">
      <c r="A15" s="45"/>
      <c r="B15" s="46" t="s">
        <v>18</v>
      </c>
      <c r="C15" s="52" t="s">
        <v>77</v>
      </c>
      <c r="D15" s="47"/>
      <c r="E15" s="48"/>
    </row>
    <row r="16" spans="1:5" ht="18.75" thickBot="1">
      <c r="A16" s="416" t="s">
        <v>19</v>
      </c>
      <c r="B16" s="416"/>
      <c r="C16" s="416"/>
      <c r="D16" s="416"/>
      <c r="E16" s="416"/>
    </row>
    <row r="17" spans="1:5" ht="36.75" customHeight="1" thickBot="1">
      <c r="A17" s="59" t="s">
        <v>3</v>
      </c>
      <c r="B17" s="60" t="s">
        <v>4</v>
      </c>
      <c r="C17" s="61" t="s">
        <v>36</v>
      </c>
      <c r="D17" s="61" t="s">
        <v>84</v>
      </c>
      <c r="E17" s="62" t="s">
        <v>6</v>
      </c>
    </row>
    <row r="18" spans="1:5" ht="18">
      <c r="A18" s="63">
        <v>1</v>
      </c>
      <c r="B18" s="79" t="s">
        <v>20</v>
      </c>
      <c r="C18" s="80">
        <v>10000</v>
      </c>
      <c r="D18" s="81">
        <v>218339</v>
      </c>
      <c r="E18" s="64"/>
    </row>
    <row r="19" spans="1:5" ht="18">
      <c r="A19" s="65">
        <v>2</v>
      </c>
      <c r="B19" s="41" t="s">
        <v>22</v>
      </c>
      <c r="C19" s="49" t="s">
        <v>78</v>
      </c>
      <c r="D19" s="43">
        <f>67580+46660</f>
        <v>114240</v>
      </c>
      <c r="E19" s="66"/>
    </row>
    <row r="20" spans="1:5" ht="18">
      <c r="A20" s="65">
        <v>3</v>
      </c>
      <c r="B20" s="41" t="s">
        <v>24</v>
      </c>
      <c r="C20" s="49" t="s">
        <v>7</v>
      </c>
      <c r="D20" s="42"/>
      <c r="E20" s="66"/>
    </row>
    <row r="21" spans="1:5" ht="18">
      <c r="A21" s="65">
        <v>4</v>
      </c>
      <c r="B21" s="41" t="s">
        <v>25</v>
      </c>
      <c r="C21" s="50">
        <v>30000</v>
      </c>
      <c r="D21" s="43"/>
      <c r="E21" s="66"/>
    </row>
    <row r="22" spans="1:5" ht="18">
      <c r="A22" s="65">
        <v>5</v>
      </c>
      <c r="B22" s="41" t="s">
        <v>27</v>
      </c>
      <c r="C22" s="50">
        <v>30000</v>
      </c>
      <c r="D22" s="43"/>
      <c r="E22" s="66"/>
    </row>
    <row r="23" spans="1:5" ht="18">
      <c r="A23" s="65">
        <v>6</v>
      </c>
      <c r="B23" s="41" t="s">
        <v>29</v>
      </c>
      <c r="C23" s="50">
        <v>50000</v>
      </c>
      <c r="D23" s="43"/>
      <c r="E23" s="66"/>
    </row>
    <row r="24" spans="1:5" ht="18">
      <c r="A24" s="65">
        <v>7</v>
      </c>
      <c r="B24" s="41" t="s">
        <v>30</v>
      </c>
      <c r="C24" s="50">
        <v>10000</v>
      </c>
      <c r="D24" s="43"/>
      <c r="E24" s="67"/>
    </row>
    <row r="25" spans="1:5" ht="18">
      <c r="A25" s="65">
        <v>8</v>
      </c>
      <c r="B25" s="41" t="s">
        <v>17</v>
      </c>
      <c r="C25" s="50">
        <v>10000</v>
      </c>
      <c r="D25" s="43"/>
      <c r="E25" s="67"/>
    </row>
    <row r="26" spans="1:5" ht="18.75" thickBot="1">
      <c r="A26" s="70"/>
      <c r="B26" s="71" t="s">
        <v>31</v>
      </c>
      <c r="C26" s="72" t="s">
        <v>79</v>
      </c>
      <c r="D26" s="73"/>
      <c r="E26" s="74"/>
    </row>
    <row r="27" spans="1:5" ht="18.75" thickBot="1">
      <c r="A27" s="75"/>
      <c r="B27" s="76" t="s">
        <v>33</v>
      </c>
      <c r="C27" s="82" t="s">
        <v>80</v>
      </c>
      <c r="D27" s="77"/>
      <c r="E27" s="78"/>
    </row>
    <row r="28" spans="1:2" ht="18">
      <c r="A28" s="37"/>
      <c r="B28" s="39" t="s">
        <v>74</v>
      </c>
    </row>
  </sheetData>
  <sheetProtection/>
  <mergeCells count="4">
    <mergeCell ref="A5:E5"/>
    <mergeCell ref="A16:E16"/>
    <mergeCell ref="A2:E2"/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D18" sqref="D18"/>
    </sheetView>
  </sheetViews>
  <sheetFormatPr defaultColWidth="9.140625" defaultRowHeight="15"/>
  <cols>
    <col min="1" max="1" width="6.28125" style="0" customWidth="1"/>
    <col min="2" max="2" width="30.00390625" style="0" customWidth="1"/>
    <col min="3" max="3" width="12.28125" style="0" customWidth="1"/>
    <col min="4" max="4" width="13.421875" style="0" customWidth="1"/>
    <col min="5" max="5" width="18.421875" style="0" customWidth="1"/>
  </cols>
  <sheetData>
    <row r="1" spans="1:5" ht="18.75">
      <c r="A1" s="419" t="s">
        <v>85</v>
      </c>
      <c r="B1" s="419"/>
      <c r="C1" s="419"/>
      <c r="D1" s="419"/>
      <c r="E1" s="419"/>
    </row>
    <row r="2" spans="1:5" ht="21">
      <c r="A2" s="420" t="s">
        <v>103</v>
      </c>
      <c r="B2" s="420"/>
      <c r="C2" s="420"/>
      <c r="D2" s="420"/>
      <c r="E2" s="420"/>
    </row>
    <row r="3" spans="1:5" ht="18.75">
      <c r="A3" s="419" t="s">
        <v>1</v>
      </c>
      <c r="B3" s="419"/>
      <c r="C3" s="419"/>
      <c r="D3" s="419"/>
      <c r="E3" s="419"/>
    </row>
    <row r="4" spans="1:4" ht="16.5" thickBot="1">
      <c r="A4" s="421" t="s">
        <v>88</v>
      </c>
      <c r="B4" s="421"/>
      <c r="C4" s="421"/>
      <c r="D4" s="421"/>
    </row>
    <row r="5" spans="1:5" ht="30.75" thickBot="1">
      <c r="A5" s="93" t="s">
        <v>45</v>
      </c>
      <c r="B5" s="94" t="s">
        <v>4</v>
      </c>
      <c r="C5" s="95" t="s">
        <v>101</v>
      </c>
      <c r="D5" s="95" t="s">
        <v>84</v>
      </c>
      <c r="E5" s="96" t="s">
        <v>6</v>
      </c>
    </row>
    <row r="6" spans="1:5" ht="15">
      <c r="A6" s="108">
        <v>1</v>
      </c>
      <c r="B6" s="90" t="s">
        <v>89</v>
      </c>
      <c r="C6" s="91" t="s">
        <v>90</v>
      </c>
      <c r="D6" s="91"/>
      <c r="E6" s="109"/>
    </row>
    <row r="7" spans="1:5" ht="15">
      <c r="A7" s="110">
        <v>2</v>
      </c>
      <c r="B7" s="86" t="s">
        <v>91</v>
      </c>
      <c r="C7" s="85" t="s">
        <v>7</v>
      </c>
      <c r="D7" s="88"/>
      <c r="E7" s="111"/>
    </row>
    <row r="8" spans="1:5" ht="15">
      <c r="A8" s="110">
        <v>3</v>
      </c>
      <c r="B8" s="86" t="s">
        <v>8</v>
      </c>
      <c r="C8" s="88">
        <v>50000</v>
      </c>
      <c r="D8" s="88">
        <f>101854</f>
        <v>101854</v>
      </c>
      <c r="E8" s="111"/>
    </row>
    <row r="9" spans="1:5" ht="15">
      <c r="A9" s="110">
        <v>4</v>
      </c>
      <c r="B9" s="86" t="s">
        <v>92</v>
      </c>
      <c r="C9" s="88">
        <v>10000</v>
      </c>
      <c r="D9" s="88">
        <f>27240+51000</f>
        <v>78240</v>
      </c>
      <c r="E9" s="111"/>
    </row>
    <row r="10" spans="1:5" ht="15">
      <c r="A10" s="110">
        <v>5</v>
      </c>
      <c r="B10" s="86" t="s">
        <v>12</v>
      </c>
      <c r="C10" s="86">
        <v>82000</v>
      </c>
      <c r="D10" s="88"/>
      <c r="E10" s="111"/>
    </row>
    <row r="11" spans="1:5" ht="15">
      <c r="A11" s="110">
        <v>6</v>
      </c>
      <c r="B11" s="86" t="s">
        <v>93</v>
      </c>
      <c r="C11" s="88">
        <v>25000</v>
      </c>
      <c r="D11" s="88"/>
      <c r="E11" s="111"/>
    </row>
    <row r="12" spans="1:5" ht="15">
      <c r="A12" s="110">
        <v>7</v>
      </c>
      <c r="B12" s="86" t="s">
        <v>16</v>
      </c>
      <c r="C12" s="88">
        <v>10000</v>
      </c>
      <c r="D12" s="88"/>
      <c r="E12" s="111"/>
    </row>
    <row r="13" spans="1:5" ht="15.75" thickBot="1">
      <c r="A13" s="112">
        <v>8</v>
      </c>
      <c r="B13" s="89" t="s">
        <v>17</v>
      </c>
      <c r="C13" s="98">
        <v>10000</v>
      </c>
      <c r="D13" s="98"/>
      <c r="E13" s="113"/>
    </row>
    <row r="14" spans="1:5" ht="15.75" thickBot="1">
      <c r="A14" s="99"/>
      <c r="B14" s="94" t="s">
        <v>94</v>
      </c>
      <c r="C14" s="100">
        <f>SUM(C6:C13)</f>
        <v>187000</v>
      </c>
      <c r="D14" s="100"/>
      <c r="E14" s="101"/>
    </row>
    <row r="15" spans="1:5" ht="16.5" thickBot="1">
      <c r="A15" s="422" t="s">
        <v>95</v>
      </c>
      <c r="B15" s="423"/>
      <c r="C15" s="423"/>
      <c r="D15" s="423"/>
      <c r="E15" s="115"/>
    </row>
    <row r="16" spans="1:5" ht="15.75" thickBot="1">
      <c r="A16" s="93" t="s">
        <v>45</v>
      </c>
      <c r="B16" s="94" t="s">
        <v>4</v>
      </c>
      <c r="C16" s="94" t="s">
        <v>5</v>
      </c>
      <c r="D16" s="94"/>
      <c r="E16" s="101"/>
    </row>
    <row r="17" spans="1:5" ht="15">
      <c r="A17" s="108">
        <v>1</v>
      </c>
      <c r="B17" s="116" t="s">
        <v>96</v>
      </c>
      <c r="C17" s="92">
        <v>30000</v>
      </c>
      <c r="D17" s="92">
        <f>19247</f>
        <v>19247</v>
      </c>
      <c r="E17" s="109"/>
    </row>
    <row r="18" spans="1:5" ht="15">
      <c r="A18" s="110">
        <v>2</v>
      </c>
      <c r="B18" s="87" t="s">
        <v>97</v>
      </c>
      <c r="C18" s="88">
        <v>140000</v>
      </c>
      <c r="D18" s="88">
        <f>19530+29500</f>
        <v>49030</v>
      </c>
      <c r="E18" s="111"/>
    </row>
    <row r="19" spans="1:5" ht="15">
      <c r="A19" s="110">
        <v>3</v>
      </c>
      <c r="B19" s="87" t="s">
        <v>24</v>
      </c>
      <c r="C19" s="88"/>
      <c r="D19" s="88"/>
      <c r="E19" s="111"/>
    </row>
    <row r="20" spans="1:5" ht="15">
      <c r="A20" s="110">
        <v>4</v>
      </c>
      <c r="B20" s="87" t="s">
        <v>25</v>
      </c>
      <c r="C20" s="88">
        <v>30000</v>
      </c>
      <c r="D20" s="88"/>
      <c r="E20" s="111"/>
    </row>
    <row r="21" spans="1:5" ht="15">
      <c r="A21" s="110">
        <v>5</v>
      </c>
      <c r="B21" s="87" t="s">
        <v>27</v>
      </c>
      <c r="C21" s="88">
        <v>30000</v>
      </c>
      <c r="D21" s="88"/>
      <c r="E21" s="111"/>
    </row>
    <row r="22" spans="1:5" ht="15">
      <c r="A22" s="110">
        <v>6</v>
      </c>
      <c r="B22" s="87" t="s">
        <v>98</v>
      </c>
      <c r="C22" s="88">
        <v>25000</v>
      </c>
      <c r="D22" s="88"/>
      <c r="E22" s="111"/>
    </row>
    <row r="23" spans="1:5" ht="15">
      <c r="A23" s="110">
        <v>7</v>
      </c>
      <c r="B23" s="87" t="s">
        <v>16</v>
      </c>
      <c r="C23" s="88">
        <v>10000</v>
      </c>
      <c r="D23" s="88"/>
      <c r="E23" s="111"/>
    </row>
    <row r="24" spans="1:5" ht="15.75" thickBot="1">
      <c r="A24" s="110">
        <v>8</v>
      </c>
      <c r="B24" s="87" t="s">
        <v>17</v>
      </c>
      <c r="C24" s="98">
        <v>10000</v>
      </c>
      <c r="D24" s="85"/>
      <c r="E24" s="111"/>
    </row>
    <row r="25" spans="1:5" ht="15.75" thickBot="1">
      <c r="A25" s="110"/>
      <c r="B25" s="104" t="s">
        <v>99</v>
      </c>
      <c r="C25" s="107">
        <f>SUM(C17:C24)</f>
        <v>275000</v>
      </c>
      <c r="D25" s="105"/>
      <c r="E25" s="111"/>
    </row>
    <row r="26" spans="1:5" ht="15.75" thickBot="1">
      <c r="A26" s="112"/>
      <c r="B26" s="97"/>
      <c r="C26" s="106"/>
      <c r="D26" s="97"/>
      <c r="E26" s="113"/>
    </row>
    <row r="27" spans="1:5" ht="16.5" thickBot="1">
      <c r="A27" s="99"/>
      <c r="B27" s="94" t="s">
        <v>33</v>
      </c>
      <c r="C27" s="102">
        <f>C25+C14</f>
        <v>462000</v>
      </c>
      <c r="D27" s="103"/>
      <c r="E27" s="101"/>
    </row>
  </sheetData>
  <sheetProtection/>
  <mergeCells count="5">
    <mergeCell ref="A1:E1"/>
    <mergeCell ref="A2:E2"/>
    <mergeCell ref="A3:E3"/>
    <mergeCell ref="A4:D4"/>
    <mergeCell ref="A15:D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4">
      <selection activeCell="D10" sqref="D10"/>
    </sheetView>
  </sheetViews>
  <sheetFormatPr defaultColWidth="9.140625" defaultRowHeight="15"/>
  <cols>
    <col min="1" max="1" width="7.140625" style="0" customWidth="1"/>
    <col min="2" max="2" width="33.421875" style="0" customWidth="1"/>
    <col min="3" max="3" width="13.421875" style="0" customWidth="1"/>
    <col min="4" max="4" width="14.421875" style="0" customWidth="1"/>
    <col min="5" max="5" width="17.421875" style="0" customWidth="1"/>
  </cols>
  <sheetData>
    <row r="1" spans="1:5" ht="18.75">
      <c r="A1" s="419" t="s">
        <v>85</v>
      </c>
      <c r="B1" s="419"/>
      <c r="C1" s="419"/>
      <c r="D1" s="419"/>
      <c r="E1" s="419"/>
    </row>
    <row r="2" spans="1:5" ht="21">
      <c r="A2" s="420" t="s">
        <v>86</v>
      </c>
      <c r="B2" s="420"/>
      <c r="C2" s="420"/>
      <c r="D2" s="420"/>
      <c r="E2" s="420"/>
    </row>
    <row r="3" spans="1:5" ht="15">
      <c r="A3" s="426" t="s">
        <v>87</v>
      </c>
      <c r="B3" s="426"/>
      <c r="C3" s="426"/>
      <c r="D3" s="426"/>
      <c r="E3" s="426"/>
    </row>
    <row r="4" spans="1:5" ht="18.75">
      <c r="A4" s="419" t="s">
        <v>1</v>
      </c>
      <c r="B4" s="419"/>
      <c r="C4" s="419"/>
      <c r="D4" s="419"/>
      <c r="E4" s="419"/>
    </row>
    <row r="5" spans="1:4" ht="16.5" thickBot="1">
      <c r="A5" s="421" t="s">
        <v>88</v>
      </c>
      <c r="B5" s="421"/>
      <c r="C5" s="421"/>
      <c r="D5" s="421"/>
    </row>
    <row r="6" spans="1:5" ht="30.75" thickBot="1">
      <c r="A6" s="93" t="s">
        <v>45</v>
      </c>
      <c r="B6" s="94" t="s">
        <v>4</v>
      </c>
      <c r="C6" s="95" t="s">
        <v>101</v>
      </c>
      <c r="D6" s="95" t="s">
        <v>84</v>
      </c>
      <c r="E6" s="96" t="s">
        <v>6</v>
      </c>
    </row>
    <row r="7" spans="1:5" ht="15">
      <c r="A7" s="108">
        <v>1</v>
      </c>
      <c r="B7" s="90" t="s">
        <v>89</v>
      </c>
      <c r="C7" s="92" t="s">
        <v>90</v>
      </c>
      <c r="D7" s="91"/>
      <c r="E7" s="109"/>
    </row>
    <row r="8" spans="1:5" ht="15">
      <c r="A8" s="110">
        <v>2</v>
      </c>
      <c r="B8" s="86" t="s">
        <v>91</v>
      </c>
      <c r="C8" s="88" t="s">
        <v>7</v>
      </c>
      <c r="D8" s="85"/>
      <c r="E8" s="111"/>
    </row>
    <row r="9" spans="1:5" ht="15">
      <c r="A9" s="110">
        <v>3</v>
      </c>
      <c r="B9" s="86" t="s">
        <v>8</v>
      </c>
      <c r="C9" s="88" t="s">
        <v>7</v>
      </c>
      <c r="D9" s="85"/>
      <c r="E9" s="111"/>
    </row>
    <row r="10" spans="1:5" ht="18" customHeight="1">
      <c r="A10" s="110">
        <v>4</v>
      </c>
      <c r="B10" s="86" t="s">
        <v>92</v>
      </c>
      <c r="C10" s="88">
        <v>20000</v>
      </c>
      <c r="D10" s="88">
        <f>45751+51000</f>
        <v>96751</v>
      </c>
      <c r="E10" s="111"/>
    </row>
    <row r="11" spans="1:5" ht="15">
      <c r="A11" s="110">
        <v>5</v>
      </c>
      <c r="B11" s="86" t="s">
        <v>12</v>
      </c>
      <c r="C11" s="86">
        <v>465000</v>
      </c>
      <c r="D11" s="86"/>
      <c r="E11" s="111"/>
    </row>
    <row r="12" spans="1:5" ht="15">
      <c r="A12" s="110">
        <v>6</v>
      </c>
      <c r="B12" s="86" t="s">
        <v>93</v>
      </c>
      <c r="C12" s="88">
        <v>500000</v>
      </c>
      <c r="D12" s="85"/>
      <c r="E12" s="111"/>
    </row>
    <row r="13" spans="1:5" ht="15">
      <c r="A13" s="110">
        <v>7</v>
      </c>
      <c r="B13" s="86" t="s">
        <v>16</v>
      </c>
      <c r="C13" s="88">
        <v>10000</v>
      </c>
      <c r="D13" s="85"/>
      <c r="E13" s="111"/>
    </row>
    <row r="14" spans="1:5" ht="15.75" thickBot="1">
      <c r="A14" s="112">
        <v>8</v>
      </c>
      <c r="B14" s="89" t="s">
        <v>17</v>
      </c>
      <c r="C14" s="98">
        <v>10000</v>
      </c>
      <c r="D14" s="97"/>
      <c r="E14" s="113"/>
    </row>
    <row r="15" spans="1:5" ht="15.75" thickBot="1">
      <c r="A15" s="99"/>
      <c r="B15" s="94" t="s">
        <v>94</v>
      </c>
      <c r="C15" s="100">
        <f>SUM(C7:C14)</f>
        <v>1005000</v>
      </c>
      <c r="D15" s="94"/>
      <c r="E15" s="101"/>
    </row>
    <row r="16" spans="1:5" ht="15.75">
      <c r="A16" s="424" t="s">
        <v>95</v>
      </c>
      <c r="B16" s="425"/>
      <c r="C16" s="425"/>
      <c r="D16" s="425"/>
      <c r="E16" s="109"/>
    </row>
    <row r="17" spans="1:5" ht="15">
      <c r="A17" s="114" t="s">
        <v>45</v>
      </c>
      <c r="B17" s="84" t="s">
        <v>4</v>
      </c>
      <c r="C17" s="84" t="s">
        <v>5</v>
      </c>
      <c r="D17" s="84"/>
      <c r="E17" s="111"/>
    </row>
    <row r="18" spans="1:5" ht="15">
      <c r="A18" s="110">
        <v>1</v>
      </c>
      <c r="B18" s="87" t="s">
        <v>96</v>
      </c>
      <c r="C18" s="88">
        <v>10000</v>
      </c>
      <c r="D18" s="85">
        <f>166394</f>
        <v>166394</v>
      </c>
      <c r="E18" s="111"/>
    </row>
    <row r="19" spans="1:5" ht="15">
      <c r="A19" s="110">
        <v>2</v>
      </c>
      <c r="B19" s="87" t="s">
        <v>97</v>
      </c>
      <c r="C19" s="88">
        <v>140000</v>
      </c>
      <c r="D19" s="85">
        <f>89400+36250</f>
        <v>125650</v>
      </c>
      <c r="E19" s="111"/>
    </row>
    <row r="20" spans="1:5" ht="15">
      <c r="A20" s="110">
        <v>3</v>
      </c>
      <c r="B20" s="87" t="s">
        <v>24</v>
      </c>
      <c r="C20" s="88" t="s">
        <v>7</v>
      </c>
      <c r="D20" s="85"/>
      <c r="E20" s="111"/>
    </row>
    <row r="21" spans="1:5" ht="15">
      <c r="A21" s="110">
        <v>4</v>
      </c>
      <c r="B21" s="87" t="s">
        <v>25</v>
      </c>
      <c r="C21" s="88">
        <v>30000</v>
      </c>
      <c r="D21" s="85"/>
      <c r="E21" s="111"/>
    </row>
    <row r="22" spans="1:5" ht="15">
      <c r="A22" s="110">
        <v>5</v>
      </c>
      <c r="B22" s="87" t="s">
        <v>27</v>
      </c>
      <c r="C22" s="88">
        <v>30000</v>
      </c>
      <c r="D22" s="85"/>
      <c r="E22" s="111"/>
    </row>
    <row r="23" spans="1:5" ht="15">
      <c r="A23" s="110">
        <v>6</v>
      </c>
      <c r="B23" s="87" t="s">
        <v>98</v>
      </c>
      <c r="C23" s="88">
        <v>50000</v>
      </c>
      <c r="D23" s="85"/>
      <c r="E23" s="111"/>
    </row>
    <row r="24" spans="1:5" ht="15">
      <c r="A24" s="110">
        <v>7</v>
      </c>
      <c r="B24" s="87" t="s">
        <v>16</v>
      </c>
      <c r="C24" s="88">
        <v>10000</v>
      </c>
      <c r="D24" s="85"/>
      <c r="E24" s="111"/>
    </row>
    <row r="25" spans="1:5" ht="15.75" thickBot="1">
      <c r="A25" s="110">
        <v>8</v>
      </c>
      <c r="B25" s="87" t="s">
        <v>17</v>
      </c>
      <c r="C25" s="98">
        <v>10000</v>
      </c>
      <c r="D25" s="85"/>
      <c r="E25" s="111"/>
    </row>
    <row r="26" spans="1:5" ht="15.75" thickBot="1">
      <c r="A26" s="110"/>
      <c r="B26" s="104" t="s">
        <v>99</v>
      </c>
      <c r="C26" s="107">
        <f>SUM(C18:C25)</f>
        <v>280000</v>
      </c>
      <c r="D26" s="105"/>
      <c r="E26" s="111"/>
    </row>
    <row r="27" spans="1:5" ht="15.75" thickBot="1">
      <c r="A27" s="112"/>
      <c r="B27" s="97"/>
      <c r="C27" s="106"/>
      <c r="D27" s="97"/>
      <c r="E27" s="113"/>
    </row>
    <row r="28" spans="1:5" ht="16.5" thickBot="1">
      <c r="A28" s="99"/>
      <c r="B28" s="94" t="s">
        <v>33</v>
      </c>
      <c r="C28" s="102">
        <f>C26+C15</f>
        <v>1285000</v>
      </c>
      <c r="D28" s="103"/>
      <c r="E28" s="101"/>
    </row>
    <row r="29" spans="1:4" ht="15">
      <c r="A29" s="1"/>
      <c r="B29" s="1"/>
      <c r="C29" s="1"/>
      <c r="D29" s="1"/>
    </row>
    <row r="30" ht="26.25">
      <c r="A30" s="83" t="s">
        <v>100</v>
      </c>
    </row>
  </sheetData>
  <sheetProtection/>
  <mergeCells count="6">
    <mergeCell ref="A16:D16"/>
    <mergeCell ref="A1:E1"/>
    <mergeCell ref="A2:E2"/>
    <mergeCell ref="A3:E3"/>
    <mergeCell ref="A4:E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E29" sqref="E29"/>
    </sheetView>
  </sheetViews>
  <sheetFormatPr defaultColWidth="9.140625" defaultRowHeight="15"/>
  <cols>
    <col min="2" max="2" width="28.00390625" style="0" bestFit="1" customWidth="1"/>
    <col min="3" max="3" width="12.140625" style="0" customWidth="1"/>
    <col min="4" max="4" width="11.8515625" style="0" customWidth="1"/>
    <col min="5" max="5" width="16.7109375" style="0" customWidth="1"/>
  </cols>
  <sheetData>
    <row r="2" spans="1:5" ht="18.75">
      <c r="A2" s="419" t="s">
        <v>85</v>
      </c>
      <c r="B2" s="419"/>
      <c r="C2" s="419"/>
      <c r="D2" s="419"/>
      <c r="E2" s="419"/>
    </row>
    <row r="3" spans="1:5" ht="21">
      <c r="A3" s="420" t="s">
        <v>102</v>
      </c>
      <c r="B3" s="420"/>
      <c r="C3" s="420"/>
      <c r="D3" s="420"/>
      <c r="E3" s="420"/>
    </row>
    <row r="4" spans="1:5" ht="18.75">
      <c r="A4" s="419" t="s">
        <v>1</v>
      </c>
      <c r="B4" s="419"/>
      <c r="C4" s="419"/>
      <c r="D4" s="419"/>
      <c r="E4" s="419"/>
    </row>
    <row r="5" spans="1:4" ht="16.5" thickBot="1">
      <c r="A5" s="421" t="s">
        <v>88</v>
      </c>
      <c r="B5" s="421"/>
      <c r="C5" s="421"/>
      <c r="D5" s="421"/>
    </row>
    <row r="6" spans="1:5" ht="45.75" thickBot="1">
      <c r="A6" s="93" t="s">
        <v>45</v>
      </c>
      <c r="B6" s="94" t="s">
        <v>4</v>
      </c>
      <c r="C6" s="95" t="s">
        <v>101</v>
      </c>
      <c r="D6" s="95" t="s">
        <v>84</v>
      </c>
      <c r="E6" s="96" t="s">
        <v>6</v>
      </c>
    </row>
    <row r="7" spans="1:5" ht="15">
      <c r="A7" s="108">
        <v>1</v>
      </c>
      <c r="B7" s="90" t="s">
        <v>89</v>
      </c>
      <c r="C7" s="92" t="s">
        <v>90</v>
      </c>
      <c r="D7" s="91"/>
      <c r="E7" s="109"/>
    </row>
    <row r="8" spans="1:5" ht="15">
      <c r="A8" s="110">
        <v>2</v>
      </c>
      <c r="B8" s="86" t="s">
        <v>91</v>
      </c>
      <c r="C8" s="88" t="s">
        <v>7</v>
      </c>
      <c r="D8" s="85"/>
      <c r="E8" s="111"/>
    </row>
    <row r="9" spans="1:5" ht="15">
      <c r="A9" s="110">
        <v>3</v>
      </c>
      <c r="B9" s="86" t="s">
        <v>8</v>
      </c>
      <c r="C9" s="88">
        <v>1660000</v>
      </c>
      <c r="D9" s="88">
        <v>1353391</v>
      </c>
      <c r="E9" s="111"/>
    </row>
    <row r="10" spans="1:5" ht="15">
      <c r="A10" s="110">
        <v>4</v>
      </c>
      <c r="B10" s="86" t="s">
        <v>92</v>
      </c>
      <c r="C10" s="88">
        <v>10000</v>
      </c>
      <c r="D10" s="88">
        <f>37322+51000</f>
        <v>88322</v>
      </c>
      <c r="E10" s="111"/>
    </row>
    <row r="11" spans="1:5" ht="15">
      <c r="A11" s="110">
        <v>5</v>
      </c>
      <c r="B11" s="86" t="s">
        <v>12</v>
      </c>
      <c r="C11" s="86">
        <v>1500000</v>
      </c>
      <c r="D11" s="86"/>
      <c r="E11" s="111"/>
    </row>
    <row r="12" spans="1:5" ht="15">
      <c r="A12" s="110">
        <v>6</v>
      </c>
      <c r="B12" s="86" t="s">
        <v>93</v>
      </c>
      <c r="C12" s="88">
        <v>25000</v>
      </c>
      <c r="D12" s="85"/>
      <c r="E12" s="111"/>
    </row>
    <row r="13" spans="1:5" ht="15">
      <c r="A13" s="110">
        <v>7</v>
      </c>
      <c r="B13" s="86" t="s">
        <v>16</v>
      </c>
      <c r="C13" s="88">
        <v>10000</v>
      </c>
      <c r="D13" s="85"/>
      <c r="E13" s="111"/>
    </row>
    <row r="14" spans="1:5" ht="15.75" thickBot="1">
      <c r="A14" s="112">
        <v>8</v>
      </c>
      <c r="B14" s="89" t="s">
        <v>17</v>
      </c>
      <c r="C14" s="98">
        <v>10000</v>
      </c>
      <c r="D14" s="97"/>
      <c r="E14" s="113"/>
    </row>
    <row r="15" spans="1:5" ht="15.75" thickBot="1">
      <c r="A15" s="99"/>
      <c r="B15" s="94" t="s">
        <v>94</v>
      </c>
      <c r="C15" s="100">
        <f>SUM(C7:C14)</f>
        <v>3215000</v>
      </c>
      <c r="D15" s="100">
        <f>SUM(D7:D14)</f>
        <v>1441713</v>
      </c>
      <c r="E15" s="101"/>
    </row>
    <row r="16" spans="1:5" ht="16.5" thickBot="1">
      <c r="A16" s="422" t="s">
        <v>95</v>
      </c>
      <c r="B16" s="423"/>
      <c r="C16" s="423"/>
      <c r="D16" s="423"/>
      <c r="E16" s="115"/>
    </row>
    <row r="17" spans="1:5" ht="15.75" thickBot="1">
      <c r="A17" s="93" t="s">
        <v>45</v>
      </c>
      <c r="B17" s="94" t="s">
        <v>4</v>
      </c>
      <c r="C17" s="94" t="s">
        <v>5</v>
      </c>
      <c r="D17" s="94"/>
      <c r="E17" s="101"/>
    </row>
    <row r="18" spans="1:5" ht="15">
      <c r="A18" s="108">
        <v>1</v>
      </c>
      <c r="B18" s="116" t="s">
        <v>96</v>
      </c>
      <c r="C18" s="92">
        <v>110000</v>
      </c>
      <c r="D18" s="92">
        <f>63659+34500+51000</f>
        <v>149159</v>
      </c>
      <c r="E18" s="109"/>
    </row>
    <row r="19" spans="1:5" ht="15">
      <c r="A19" s="110">
        <v>2</v>
      </c>
      <c r="B19" s="87" t="s">
        <v>97</v>
      </c>
      <c r="C19" s="88">
        <v>60000</v>
      </c>
      <c r="D19" s="85"/>
      <c r="E19" s="111"/>
    </row>
    <row r="20" spans="1:5" ht="15">
      <c r="A20" s="110">
        <v>3</v>
      </c>
      <c r="B20" s="87" t="s">
        <v>24</v>
      </c>
      <c r="C20" s="88" t="s">
        <v>7</v>
      </c>
      <c r="D20" s="85"/>
      <c r="E20" s="111"/>
    </row>
    <row r="21" spans="1:5" ht="15">
      <c r="A21" s="110">
        <v>4</v>
      </c>
      <c r="B21" s="87" t="s">
        <v>25</v>
      </c>
      <c r="C21" s="88">
        <v>10000</v>
      </c>
      <c r="D21" s="85"/>
      <c r="E21" s="111"/>
    </row>
    <row r="22" spans="1:5" ht="15">
      <c r="A22" s="110">
        <v>5</v>
      </c>
      <c r="B22" s="87" t="s">
        <v>27</v>
      </c>
      <c r="C22" s="88">
        <v>10000</v>
      </c>
      <c r="D22" s="85"/>
      <c r="E22" s="111"/>
    </row>
    <row r="23" spans="1:5" ht="15">
      <c r="A23" s="110">
        <v>6</v>
      </c>
      <c r="B23" s="87" t="s">
        <v>98</v>
      </c>
      <c r="C23" s="88">
        <v>25000</v>
      </c>
      <c r="D23" s="85"/>
      <c r="E23" s="111"/>
    </row>
    <row r="24" spans="1:5" ht="15">
      <c r="A24" s="110">
        <v>7</v>
      </c>
      <c r="B24" s="87" t="s">
        <v>16</v>
      </c>
      <c r="C24" s="88">
        <v>10000</v>
      </c>
      <c r="D24" s="85"/>
      <c r="E24" s="111"/>
    </row>
    <row r="25" spans="1:5" ht="15.75" thickBot="1">
      <c r="A25" s="110">
        <v>8</v>
      </c>
      <c r="B25" s="87" t="s">
        <v>17</v>
      </c>
      <c r="C25" s="98">
        <v>10000</v>
      </c>
      <c r="D25" s="85"/>
      <c r="E25" s="111"/>
    </row>
    <row r="26" spans="1:5" ht="15.75" thickBot="1">
      <c r="A26" s="110"/>
      <c r="B26" s="104" t="s">
        <v>99</v>
      </c>
      <c r="C26" s="107">
        <f>SUM(C18:C25)</f>
        <v>235000</v>
      </c>
      <c r="D26" s="107">
        <f>SUM(D18:D25)</f>
        <v>149159</v>
      </c>
      <c r="E26" s="111"/>
    </row>
    <row r="27" spans="1:5" ht="15.75" thickBot="1">
      <c r="A27" s="112"/>
      <c r="B27" s="97"/>
      <c r="C27" s="106"/>
      <c r="D27" s="97"/>
      <c r="E27" s="113"/>
    </row>
    <row r="28" spans="1:5" ht="16.5" thickBot="1">
      <c r="A28" s="99"/>
      <c r="B28" s="94" t="s">
        <v>33</v>
      </c>
      <c r="C28" s="102">
        <f>C26+C15</f>
        <v>3450000</v>
      </c>
      <c r="D28" s="102">
        <f>D26+D15</f>
        <v>1590872</v>
      </c>
      <c r="E28" s="101"/>
    </row>
  </sheetData>
  <sheetProtection/>
  <mergeCells count="5">
    <mergeCell ref="A2:E2"/>
    <mergeCell ref="A3:E3"/>
    <mergeCell ref="A4:E4"/>
    <mergeCell ref="A5:D5"/>
    <mergeCell ref="A16:D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28125" style="0" customWidth="1"/>
    <col min="2" max="2" width="28.00390625" style="0" bestFit="1" customWidth="1"/>
    <col min="3" max="3" width="12.7109375" style="0" customWidth="1"/>
    <col min="4" max="4" width="13.57421875" style="0" customWidth="1"/>
    <col min="5" max="5" width="15.57421875" style="0" customWidth="1"/>
  </cols>
  <sheetData>
    <row r="1" spans="1:5" ht="18.75">
      <c r="A1" s="419" t="s">
        <v>85</v>
      </c>
      <c r="B1" s="419"/>
      <c r="C1" s="419"/>
      <c r="D1" s="419"/>
      <c r="E1" s="419"/>
    </row>
    <row r="2" spans="1:5" ht="21">
      <c r="A2" s="420" t="s">
        <v>104</v>
      </c>
      <c r="B2" s="420"/>
      <c r="C2" s="420"/>
      <c r="D2" s="420"/>
      <c r="E2" s="420"/>
    </row>
    <row r="3" spans="1:5" ht="18.75">
      <c r="A3" s="419" t="s">
        <v>1</v>
      </c>
      <c r="B3" s="419"/>
      <c r="C3" s="419"/>
      <c r="D3" s="419"/>
      <c r="E3" s="419"/>
    </row>
    <row r="4" spans="1:4" ht="16.5" thickBot="1">
      <c r="A4" s="421" t="s">
        <v>88</v>
      </c>
      <c r="B4" s="421"/>
      <c r="C4" s="421"/>
      <c r="D4" s="421"/>
    </row>
    <row r="5" spans="1:5" ht="30.75" thickBot="1">
      <c r="A5" s="93" t="s">
        <v>45</v>
      </c>
      <c r="B5" s="94" t="s">
        <v>4</v>
      </c>
      <c r="C5" s="95" t="s">
        <v>101</v>
      </c>
      <c r="D5" s="95" t="s">
        <v>84</v>
      </c>
      <c r="E5" s="96" t="s">
        <v>6</v>
      </c>
    </row>
    <row r="6" spans="1:5" ht="15">
      <c r="A6" s="108">
        <v>1</v>
      </c>
      <c r="B6" s="90" t="s">
        <v>89</v>
      </c>
      <c r="C6" s="91" t="s">
        <v>90</v>
      </c>
      <c r="D6" s="91"/>
      <c r="E6" s="109"/>
    </row>
    <row r="7" spans="1:5" ht="15">
      <c r="A7" s="110">
        <v>2</v>
      </c>
      <c r="B7" s="86" t="s">
        <v>91</v>
      </c>
      <c r="C7" s="85" t="s">
        <v>7</v>
      </c>
      <c r="D7" s="85"/>
      <c r="E7" s="111"/>
    </row>
    <row r="8" spans="1:5" ht="15">
      <c r="A8" s="110">
        <v>3</v>
      </c>
      <c r="B8" s="86" t="s">
        <v>8</v>
      </c>
      <c r="C8" s="88"/>
      <c r="D8" s="85"/>
      <c r="E8" s="111"/>
    </row>
    <row r="9" spans="1:5" ht="15">
      <c r="A9" s="110">
        <v>4</v>
      </c>
      <c r="B9" s="86" t="s">
        <v>92</v>
      </c>
      <c r="C9" s="88">
        <v>20000</v>
      </c>
      <c r="D9" s="88">
        <f>5539+51000</f>
        <v>56539</v>
      </c>
      <c r="E9" s="111"/>
    </row>
    <row r="10" spans="1:5" ht="15">
      <c r="A10" s="110">
        <v>5</v>
      </c>
      <c r="B10" s="86" t="s">
        <v>12</v>
      </c>
      <c r="C10" s="86">
        <v>40000</v>
      </c>
      <c r="D10" s="86"/>
      <c r="E10" s="111"/>
    </row>
    <row r="11" spans="1:5" ht="15">
      <c r="A11" s="110">
        <v>6</v>
      </c>
      <c r="B11" s="86" t="s">
        <v>93</v>
      </c>
      <c r="C11" s="88"/>
      <c r="D11" s="85"/>
      <c r="E11" s="111"/>
    </row>
    <row r="12" spans="1:5" ht="15">
      <c r="A12" s="110">
        <v>7</v>
      </c>
      <c r="B12" s="86" t="s">
        <v>16</v>
      </c>
      <c r="C12" s="88">
        <v>10000</v>
      </c>
      <c r="D12" s="85"/>
      <c r="E12" s="111"/>
    </row>
    <row r="13" spans="1:5" ht="15.75" thickBot="1">
      <c r="A13" s="112">
        <v>8</v>
      </c>
      <c r="B13" s="89" t="s">
        <v>17</v>
      </c>
      <c r="C13" s="98">
        <v>10000</v>
      </c>
      <c r="D13" s="97"/>
      <c r="E13" s="113"/>
    </row>
    <row r="14" spans="1:5" ht="15.75" thickBot="1">
      <c r="A14" s="99"/>
      <c r="B14" s="94" t="s">
        <v>94</v>
      </c>
      <c r="C14" s="100">
        <f>SUM(C6:C13)</f>
        <v>80000</v>
      </c>
      <c r="D14" s="94"/>
      <c r="E14" s="101"/>
    </row>
    <row r="15" spans="1:5" ht="16.5" thickBot="1">
      <c r="A15" s="422" t="s">
        <v>95</v>
      </c>
      <c r="B15" s="423"/>
      <c r="C15" s="423"/>
      <c r="D15" s="423"/>
      <c r="E15" s="115"/>
    </row>
    <row r="16" spans="1:5" ht="15.75" thickBot="1">
      <c r="A16" s="93" t="s">
        <v>45</v>
      </c>
      <c r="B16" s="94" t="s">
        <v>4</v>
      </c>
      <c r="C16" s="94" t="s">
        <v>5</v>
      </c>
      <c r="D16" s="94"/>
      <c r="E16" s="101"/>
    </row>
    <row r="17" spans="1:5" ht="15">
      <c r="A17" s="108">
        <v>1</v>
      </c>
      <c r="B17" s="116" t="s">
        <v>96</v>
      </c>
      <c r="C17" s="91" t="s">
        <v>7</v>
      </c>
      <c r="D17" s="91">
        <f>11200</f>
        <v>11200</v>
      </c>
      <c r="E17" s="109"/>
    </row>
    <row r="18" spans="1:5" ht="15">
      <c r="A18" s="110">
        <v>2</v>
      </c>
      <c r="B18" s="87" t="s">
        <v>97</v>
      </c>
      <c r="C18" s="88">
        <v>108000</v>
      </c>
      <c r="D18" s="85"/>
      <c r="E18" s="111"/>
    </row>
    <row r="19" spans="1:5" ht="15">
      <c r="A19" s="110">
        <v>3</v>
      </c>
      <c r="B19" s="87" t="s">
        <v>24</v>
      </c>
      <c r="C19" s="91" t="s">
        <v>7</v>
      </c>
      <c r="D19" s="85"/>
      <c r="E19" s="111"/>
    </row>
    <row r="20" spans="1:5" ht="15">
      <c r="A20" s="110">
        <v>4</v>
      </c>
      <c r="B20" s="87" t="s">
        <v>25</v>
      </c>
      <c r="C20" s="88">
        <v>20000</v>
      </c>
      <c r="D20" s="85"/>
      <c r="E20" s="111"/>
    </row>
    <row r="21" spans="1:5" ht="15">
      <c r="A21" s="110">
        <v>5</v>
      </c>
      <c r="B21" s="87" t="s">
        <v>27</v>
      </c>
      <c r="C21" s="88">
        <v>20000</v>
      </c>
      <c r="D21" s="85"/>
      <c r="E21" s="111"/>
    </row>
    <row r="22" spans="1:5" ht="15">
      <c r="A22" s="110">
        <v>6</v>
      </c>
      <c r="B22" s="87" t="s">
        <v>98</v>
      </c>
      <c r="C22" s="91" t="s">
        <v>7</v>
      </c>
      <c r="D22" s="85"/>
      <c r="E22" s="111"/>
    </row>
    <row r="23" spans="1:5" ht="15">
      <c r="A23" s="110">
        <v>7</v>
      </c>
      <c r="B23" s="87" t="s">
        <v>16</v>
      </c>
      <c r="C23" s="88">
        <v>10000</v>
      </c>
      <c r="D23" s="85"/>
      <c r="E23" s="111"/>
    </row>
    <row r="24" spans="1:5" ht="15.75" thickBot="1">
      <c r="A24" s="110">
        <v>8</v>
      </c>
      <c r="B24" s="87" t="s">
        <v>17</v>
      </c>
      <c r="C24" s="98">
        <v>10000</v>
      </c>
      <c r="D24" s="85"/>
      <c r="E24" s="111"/>
    </row>
    <row r="25" spans="1:5" ht="15.75" thickBot="1">
      <c r="A25" s="110"/>
      <c r="B25" s="104" t="s">
        <v>99</v>
      </c>
      <c r="C25" s="107">
        <f>SUM(C17:C24)</f>
        <v>168000</v>
      </c>
      <c r="D25" s="105"/>
      <c r="E25" s="111"/>
    </row>
    <row r="26" spans="1:5" ht="15.75" thickBot="1">
      <c r="A26" s="112"/>
      <c r="B26" s="97"/>
      <c r="C26" s="106"/>
      <c r="D26" s="97"/>
      <c r="E26" s="113"/>
    </row>
    <row r="27" spans="1:5" ht="16.5" thickBot="1">
      <c r="A27" s="99"/>
      <c r="B27" s="94" t="s">
        <v>33</v>
      </c>
      <c r="C27" s="102">
        <f>C25+C14</f>
        <v>248000</v>
      </c>
      <c r="D27" s="103"/>
      <c r="E27" s="101"/>
    </row>
  </sheetData>
  <sheetProtection/>
  <mergeCells count="5">
    <mergeCell ref="A1:E1"/>
    <mergeCell ref="A2:E2"/>
    <mergeCell ref="A3:E3"/>
    <mergeCell ref="A4:D4"/>
    <mergeCell ref="A15:D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6.8515625" style="0" customWidth="1"/>
    <col min="2" max="2" width="28.00390625" style="0" bestFit="1" customWidth="1"/>
    <col min="3" max="3" width="11.140625" style="0" customWidth="1"/>
    <col min="4" max="4" width="12.28125" style="0" customWidth="1"/>
    <col min="5" max="5" width="18.140625" style="0" customWidth="1"/>
  </cols>
  <sheetData>
    <row r="1" spans="1:5" ht="18.75">
      <c r="A1" s="419" t="s">
        <v>85</v>
      </c>
      <c r="B1" s="419"/>
      <c r="C1" s="419"/>
      <c r="D1" s="419"/>
      <c r="E1" s="419"/>
    </row>
    <row r="2" spans="1:5" ht="21">
      <c r="A2" s="420" t="s">
        <v>105</v>
      </c>
      <c r="B2" s="420"/>
      <c r="C2" s="420"/>
      <c r="D2" s="420"/>
      <c r="E2" s="420"/>
    </row>
    <row r="3" spans="1:5" ht="18.75">
      <c r="A3" s="419" t="s">
        <v>1</v>
      </c>
      <c r="B3" s="419"/>
      <c r="C3" s="419"/>
      <c r="D3" s="419"/>
      <c r="E3" s="419"/>
    </row>
    <row r="4" spans="1:4" ht="16.5" thickBot="1">
      <c r="A4" s="421" t="s">
        <v>88</v>
      </c>
      <c r="B4" s="421"/>
      <c r="C4" s="421"/>
      <c r="D4" s="421"/>
    </row>
    <row r="5" spans="1:5" ht="30.75" customHeight="1" thickBot="1">
      <c r="A5" s="93" t="s">
        <v>45</v>
      </c>
      <c r="B5" s="94" t="s">
        <v>4</v>
      </c>
      <c r="C5" s="95" t="s">
        <v>101</v>
      </c>
      <c r="D5" s="95" t="s">
        <v>84</v>
      </c>
      <c r="E5" s="96" t="s">
        <v>6</v>
      </c>
    </row>
    <row r="6" spans="1:5" ht="15">
      <c r="A6" s="108">
        <v>1</v>
      </c>
      <c r="B6" s="90" t="s">
        <v>89</v>
      </c>
      <c r="C6" s="91" t="s">
        <v>90</v>
      </c>
      <c r="D6" s="91"/>
      <c r="E6" s="109"/>
    </row>
    <row r="7" spans="1:5" ht="15">
      <c r="A7" s="110">
        <v>2</v>
      </c>
      <c r="B7" s="86" t="s">
        <v>91</v>
      </c>
      <c r="C7" s="85" t="s">
        <v>7</v>
      </c>
      <c r="D7" s="85"/>
      <c r="E7" s="111"/>
    </row>
    <row r="8" spans="1:5" ht="15">
      <c r="A8" s="110">
        <v>3</v>
      </c>
      <c r="B8" s="86" t="s">
        <v>8</v>
      </c>
      <c r="C8" s="85" t="s">
        <v>7</v>
      </c>
      <c r="D8" s="85"/>
      <c r="E8" s="111"/>
    </row>
    <row r="9" spans="1:5" ht="15">
      <c r="A9" s="110">
        <v>4</v>
      </c>
      <c r="B9" s="86" t="s">
        <v>92</v>
      </c>
      <c r="C9" s="85" t="s">
        <v>7</v>
      </c>
      <c r="D9" s="85"/>
      <c r="E9" s="111"/>
    </row>
    <row r="10" spans="1:5" ht="15">
      <c r="A10" s="110">
        <v>5</v>
      </c>
      <c r="B10" s="86" t="s">
        <v>12</v>
      </c>
      <c r="C10" s="85" t="s">
        <v>7</v>
      </c>
      <c r="D10" s="86"/>
      <c r="E10" s="111"/>
    </row>
    <row r="11" spans="1:5" ht="15">
      <c r="A11" s="110">
        <v>6</v>
      </c>
      <c r="B11" s="86" t="s">
        <v>93</v>
      </c>
      <c r="C11" s="85" t="s">
        <v>7</v>
      </c>
      <c r="D11" s="85"/>
      <c r="E11" s="111"/>
    </row>
    <row r="12" spans="1:5" ht="15">
      <c r="A12" s="110">
        <v>7</v>
      </c>
      <c r="B12" s="86" t="s">
        <v>16</v>
      </c>
      <c r="C12" s="88">
        <v>10000</v>
      </c>
      <c r="D12" s="85"/>
      <c r="E12" s="111"/>
    </row>
    <row r="13" spans="1:5" ht="15.75" thickBot="1">
      <c r="A13" s="112">
        <v>8</v>
      </c>
      <c r="B13" s="89" t="s">
        <v>17</v>
      </c>
      <c r="C13" s="98">
        <v>10000</v>
      </c>
      <c r="D13" s="97"/>
      <c r="E13" s="113"/>
    </row>
    <row r="14" spans="1:5" ht="15.75" thickBot="1">
      <c r="A14" s="99"/>
      <c r="B14" s="94" t="s">
        <v>94</v>
      </c>
      <c r="C14" s="100">
        <f>SUM(C6:C13)</f>
        <v>20000</v>
      </c>
      <c r="D14" s="94"/>
      <c r="E14" s="101"/>
    </row>
    <row r="15" spans="1:5" ht="16.5" thickBot="1">
      <c r="A15" s="422" t="s">
        <v>95</v>
      </c>
      <c r="B15" s="423"/>
      <c r="C15" s="423"/>
      <c r="D15" s="423"/>
      <c r="E15" s="115"/>
    </row>
    <row r="16" spans="1:5" ht="15.75" thickBot="1">
      <c r="A16" s="93" t="s">
        <v>45</v>
      </c>
      <c r="B16" s="94" t="s">
        <v>4</v>
      </c>
      <c r="C16" s="94" t="s">
        <v>5</v>
      </c>
      <c r="D16" s="94"/>
      <c r="E16" s="101"/>
    </row>
    <row r="17" spans="1:5" ht="15">
      <c r="A17" s="108">
        <v>1</v>
      </c>
      <c r="B17" s="116" t="s">
        <v>96</v>
      </c>
      <c r="C17" s="91" t="s">
        <v>7</v>
      </c>
      <c r="D17" s="91">
        <f>5500</f>
        <v>5500</v>
      </c>
      <c r="E17" s="109"/>
    </row>
    <row r="18" spans="1:5" ht="15">
      <c r="A18" s="110">
        <v>2</v>
      </c>
      <c r="B18" s="87" t="s">
        <v>97</v>
      </c>
      <c r="C18" s="91" t="s">
        <v>7</v>
      </c>
      <c r="D18" s="85"/>
      <c r="E18" s="111"/>
    </row>
    <row r="19" spans="1:5" ht="15">
      <c r="A19" s="110">
        <v>3</v>
      </c>
      <c r="B19" s="87" t="s">
        <v>24</v>
      </c>
      <c r="C19" s="91" t="s">
        <v>7</v>
      </c>
      <c r="D19" s="85"/>
      <c r="E19" s="111"/>
    </row>
    <row r="20" spans="1:5" ht="15">
      <c r="A20" s="110">
        <v>4</v>
      </c>
      <c r="B20" s="87" t="s">
        <v>25</v>
      </c>
      <c r="C20" s="91" t="s">
        <v>7</v>
      </c>
      <c r="D20" s="85"/>
      <c r="E20" s="111"/>
    </row>
    <row r="21" spans="1:5" ht="15">
      <c r="A21" s="110">
        <v>5</v>
      </c>
      <c r="B21" s="87" t="s">
        <v>27</v>
      </c>
      <c r="C21" s="91">
        <v>30000</v>
      </c>
      <c r="D21" s="85"/>
      <c r="E21" s="111"/>
    </row>
    <row r="22" spans="1:5" ht="15">
      <c r="A22" s="110">
        <v>6</v>
      </c>
      <c r="B22" s="87" t="s">
        <v>98</v>
      </c>
      <c r="C22" s="91" t="s">
        <v>7</v>
      </c>
      <c r="D22" s="85"/>
      <c r="E22" s="111"/>
    </row>
    <row r="23" spans="1:5" ht="15">
      <c r="A23" s="110">
        <v>7</v>
      </c>
      <c r="B23" s="87" t="s">
        <v>16</v>
      </c>
      <c r="C23" s="88">
        <v>10000</v>
      </c>
      <c r="D23" s="85"/>
      <c r="E23" s="111"/>
    </row>
    <row r="24" spans="1:5" ht="15.75" thickBot="1">
      <c r="A24" s="110">
        <v>8</v>
      </c>
      <c r="B24" s="87" t="s">
        <v>17</v>
      </c>
      <c r="C24" s="98">
        <v>10000</v>
      </c>
      <c r="D24" s="85"/>
      <c r="E24" s="111"/>
    </row>
    <row r="25" spans="1:5" ht="15.75" thickBot="1">
      <c r="A25" s="110"/>
      <c r="B25" s="104" t="s">
        <v>99</v>
      </c>
      <c r="C25" s="107">
        <f>SUM(C17:C24)</f>
        <v>50000</v>
      </c>
      <c r="D25" s="105"/>
      <c r="E25" s="111"/>
    </row>
    <row r="26" spans="1:5" ht="15.75" thickBot="1">
      <c r="A26" s="112"/>
      <c r="B26" s="97"/>
      <c r="C26" s="106"/>
      <c r="D26" s="97"/>
      <c r="E26" s="113"/>
    </row>
    <row r="27" spans="1:5" ht="16.5" thickBot="1">
      <c r="A27" s="99"/>
      <c r="B27" s="94" t="s">
        <v>33</v>
      </c>
      <c r="C27" s="102">
        <f>C25+C14</f>
        <v>70000</v>
      </c>
      <c r="D27" s="103"/>
      <c r="E27" s="101"/>
    </row>
  </sheetData>
  <sheetProtection/>
  <mergeCells count="5">
    <mergeCell ref="A1:E1"/>
    <mergeCell ref="A2:E2"/>
    <mergeCell ref="A3:E3"/>
    <mergeCell ref="A4:D4"/>
    <mergeCell ref="A15:D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:E2"/>
    </sheetView>
  </sheetViews>
  <sheetFormatPr defaultColWidth="9.140625" defaultRowHeight="15"/>
  <cols>
    <col min="2" max="2" width="28.00390625" style="0" bestFit="1" customWidth="1"/>
    <col min="3" max="4" width="12.140625" style="0" customWidth="1"/>
  </cols>
  <sheetData>
    <row r="1" spans="1:5" ht="18.75">
      <c r="A1" s="419" t="s">
        <v>85</v>
      </c>
      <c r="B1" s="419"/>
      <c r="C1" s="419"/>
      <c r="D1" s="419"/>
      <c r="E1" s="419"/>
    </row>
    <row r="2" spans="1:5" ht="21">
      <c r="A2" s="420" t="s">
        <v>106</v>
      </c>
      <c r="B2" s="420"/>
      <c r="C2" s="420"/>
      <c r="D2" s="420"/>
      <c r="E2" s="420"/>
    </row>
    <row r="3" spans="1:5" ht="18.75">
      <c r="A3" s="419" t="s">
        <v>1</v>
      </c>
      <c r="B3" s="419"/>
      <c r="C3" s="419"/>
      <c r="D3" s="419"/>
      <c r="E3" s="419"/>
    </row>
    <row r="4" spans="1:4" ht="16.5" thickBot="1">
      <c r="A4" s="421" t="s">
        <v>88</v>
      </c>
      <c r="B4" s="421"/>
      <c r="C4" s="421"/>
      <c r="D4" s="421"/>
    </row>
    <row r="5" spans="1:5" ht="30.75" thickBot="1">
      <c r="A5" s="93" t="s">
        <v>45</v>
      </c>
      <c r="B5" s="94" t="s">
        <v>4</v>
      </c>
      <c r="C5" s="95" t="s">
        <v>101</v>
      </c>
      <c r="D5" s="95" t="s">
        <v>84</v>
      </c>
      <c r="E5" s="96" t="s">
        <v>6</v>
      </c>
    </row>
    <row r="6" spans="1:5" ht="15">
      <c r="A6" s="108">
        <v>1</v>
      </c>
      <c r="B6" s="90" t="s">
        <v>89</v>
      </c>
      <c r="C6" s="92" t="s">
        <v>90</v>
      </c>
      <c r="D6" s="91"/>
      <c r="E6" s="109"/>
    </row>
    <row r="7" spans="1:5" ht="15">
      <c r="A7" s="110">
        <v>2</v>
      </c>
      <c r="B7" s="86" t="s">
        <v>91</v>
      </c>
      <c r="C7" s="88" t="s">
        <v>7</v>
      </c>
      <c r="D7" s="85"/>
      <c r="E7" s="111"/>
    </row>
    <row r="8" spans="1:5" ht="15">
      <c r="A8" s="110">
        <v>3</v>
      </c>
      <c r="B8" s="86" t="s">
        <v>8</v>
      </c>
      <c r="C8" s="88">
        <v>3000000</v>
      </c>
      <c r="D8" s="85"/>
      <c r="E8" s="111"/>
    </row>
    <row r="9" spans="1:5" ht="15">
      <c r="A9" s="110">
        <v>4</v>
      </c>
      <c r="B9" s="86" t="s">
        <v>92</v>
      </c>
      <c r="C9" s="88" t="s">
        <v>7</v>
      </c>
      <c r="D9" s="85"/>
      <c r="E9" s="111"/>
    </row>
    <row r="10" spans="1:5" ht="15">
      <c r="A10" s="110">
        <v>5</v>
      </c>
      <c r="B10" s="86" t="s">
        <v>12</v>
      </c>
      <c r="C10" s="88" t="s">
        <v>7</v>
      </c>
      <c r="D10" s="86"/>
      <c r="E10" s="111"/>
    </row>
    <row r="11" spans="1:5" ht="15">
      <c r="A11" s="110">
        <v>6</v>
      </c>
      <c r="B11" s="86" t="s">
        <v>93</v>
      </c>
      <c r="C11" s="88" t="s">
        <v>7</v>
      </c>
      <c r="D11" s="85"/>
      <c r="E11" s="111"/>
    </row>
    <row r="12" spans="1:5" ht="15">
      <c r="A12" s="110">
        <v>7</v>
      </c>
      <c r="B12" s="86" t="s">
        <v>16</v>
      </c>
      <c r="C12" s="88">
        <v>10000</v>
      </c>
      <c r="D12" s="85"/>
      <c r="E12" s="111"/>
    </row>
    <row r="13" spans="1:5" ht="15.75" thickBot="1">
      <c r="A13" s="112">
        <v>8</v>
      </c>
      <c r="B13" s="89" t="s">
        <v>17</v>
      </c>
      <c r="C13" s="98">
        <v>10000</v>
      </c>
      <c r="D13" s="97"/>
      <c r="E13" s="113"/>
    </row>
    <row r="14" spans="1:5" ht="15.75" thickBot="1">
      <c r="A14" s="99"/>
      <c r="B14" s="94" t="s">
        <v>94</v>
      </c>
      <c r="C14" s="100">
        <f>SUM(C6:C13)</f>
        <v>3020000</v>
      </c>
      <c r="D14" s="94"/>
      <c r="E14" s="101"/>
    </row>
    <row r="15" spans="1:5" ht="16.5" thickBot="1">
      <c r="A15" s="422" t="s">
        <v>95</v>
      </c>
      <c r="B15" s="423"/>
      <c r="C15" s="423"/>
      <c r="D15" s="423"/>
      <c r="E15" s="115"/>
    </row>
    <row r="16" spans="1:5" ht="15.75" thickBot="1">
      <c r="A16" s="93" t="s">
        <v>45</v>
      </c>
      <c r="B16" s="94" t="s">
        <v>4</v>
      </c>
      <c r="C16" s="94" t="s">
        <v>5</v>
      </c>
      <c r="D16" s="94"/>
      <c r="E16" s="101"/>
    </row>
    <row r="17" spans="1:5" ht="15">
      <c r="A17" s="108">
        <v>1</v>
      </c>
      <c r="B17" s="116" t="s">
        <v>96</v>
      </c>
      <c r="C17" s="92">
        <v>200000</v>
      </c>
      <c r="D17" s="91"/>
      <c r="E17" s="109"/>
    </row>
    <row r="18" spans="1:5" ht="15">
      <c r="A18" s="110">
        <v>2</v>
      </c>
      <c r="B18" s="87" t="s">
        <v>97</v>
      </c>
      <c r="C18" s="92">
        <v>20000</v>
      </c>
      <c r="D18" s="85"/>
      <c r="E18" s="111"/>
    </row>
    <row r="19" spans="1:5" ht="15">
      <c r="A19" s="110">
        <v>3</v>
      </c>
      <c r="B19" s="87" t="s">
        <v>24</v>
      </c>
      <c r="C19" s="92" t="s">
        <v>7</v>
      </c>
      <c r="D19" s="85"/>
      <c r="E19" s="111"/>
    </row>
    <row r="20" spans="1:5" ht="15">
      <c r="A20" s="110">
        <v>4</v>
      </c>
      <c r="B20" s="87" t="s">
        <v>25</v>
      </c>
      <c r="C20" s="92" t="s">
        <v>7</v>
      </c>
      <c r="D20" s="85"/>
      <c r="E20" s="111"/>
    </row>
    <row r="21" spans="1:5" ht="15">
      <c r="A21" s="110">
        <v>5</v>
      </c>
      <c r="B21" s="87" t="s">
        <v>27</v>
      </c>
      <c r="C21" s="92">
        <v>10000</v>
      </c>
      <c r="D21" s="85"/>
      <c r="E21" s="111"/>
    </row>
    <row r="22" spans="1:5" ht="15">
      <c r="A22" s="110">
        <v>6</v>
      </c>
      <c r="B22" s="87" t="s">
        <v>98</v>
      </c>
      <c r="C22" s="92" t="s">
        <v>7</v>
      </c>
      <c r="D22" s="85"/>
      <c r="E22" s="111"/>
    </row>
    <row r="23" spans="1:5" ht="15">
      <c r="A23" s="110">
        <v>7</v>
      </c>
      <c r="B23" s="87" t="s">
        <v>16</v>
      </c>
      <c r="C23" s="88">
        <v>10000</v>
      </c>
      <c r="D23" s="85"/>
      <c r="E23" s="111"/>
    </row>
    <row r="24" spans="1:5" ht="15.75" thickBot="1">
      <c r="A24" s="110">
        <v>8</v>
      </c>
      <c r="B24" s="87" t="s">
        <v>17</v>
      </c>
      <c r="C24" s="98">
        <v>10000</v>
      </c>
      <c r="D24" s="85"/>
      <c r="E24" s="111"/>
    </row>
    <row r="25" spans="1:5" ht="15.75" thickBot="1">
      <c r="A25" s="110"/>
      <c r="B25" s="104" t="s">
        <v>99</v>
      </c>
      <c r="C25" s="107">
        <f>SUM(C17:C24)</f>
        <v>250000</v>
      </c>
      <c r="D25" s="105"/>
      <c r="E25" s="111"/>
    </row>
    <row r="26" spans="1:5" ht="15.75" thickBot="1">
      <c r="A26" s="112"/>
      <c r="B26" s="97"/>
      <c r="C26" s="106"/>
      <c r="D26" s="97"/>
      <c r="E26" s="113"/>
    </row>
    <row r="27" spans="1:5" ht="16.5" thickBot="1">
      <c r="A27" s="99"/>
      <c r="B27" s="94" t="s">
        <v>33</v>
      </c>
      <c r="C27" s="102">
        <f>C25+C14</f>
        <v>3270000</v>
      </c>
      <c r="D27" s="103"/>
      <c r="E27" s="101"/>
    </row>
  </sheetData>
  <sheetProtection/>
  <mergeCells count="5">
    <mergeCell ref="A1:E1"/>
    <mergeCell ref="A2:E2"/>
    <mergeCell ref="A3:E3"/>
    <mergeCell ref="A4:D4"/>
    <mergeCell ref="A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2024-06-21T03:59:06Z</dcterms:modified>
  <cp:category/>
  <cp:version/>
  <cp:contentType/>
  <cp:contentStatus/>
</cp:coreProperties>
</file>